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te policy\Desktop\State Policy\Year in Review\"/>
    </mc:Choice>
  </mc:AlternateContent>
  <bookViews>
    <workbookView xWindow="0" yWindow="0" windowWidth="24000" windowHeight="9435"/>
  </bookViews>
  <sheets>
    <sheet name="2017 policy activity" sheetId="1" r:id="rId1"/>
    <sheet name="Overview" sheetId="8" r:id="rId2"/>
  </sheets>
  <definedNames>
    <definedName name="_xlnm._FilterDatabase" localSheetId="0" hidden="1">'2017 policy activity'!$A$1:$AF$247</definedName>
    <definedName name="_xlnm._FilterDatabase" localSheetId="1" hidden="1">Overview!$B$6:$D$6</definedName>
  </definedNames>
  <calcPr calcId="152511" concurrentCalc="0"/>
</workbook>
</file>

<file path=xl/calcChain.xml><?xml version="1.0" encoding="utf-8"?>
<calcChain xmlns="http://schemas.openxmlformats.org/spreadsheetml/2006/main">
  <c r="U248" i="1" l="1"/>
  <c r="J248" i="1"/>
  <c r="K248" i="1"/>
  <c r="L248" i="1"/>
  <c r="M248" i="1"/>
  <c r="N248" i="1"/>
  <c r="O248" i="1"/>
  <c r="P248" i="1"/>
  <c r="Q248" i="1"/>
  <c r="R248" i="1"/>
  <c r="S248" i="1"/>
  <c r="T248" i="1"/>
  <c r="V248" i="1"/>
  <c r="W248" i="1"/>
  <c r="X248" i="1"/>
  <c r="Y248" i="1"/>
  <c r="I248" i="1"/>
  <c r="F180" i="1"/>
  <c r="D208" i="1"/>
  <c r="D247" i="1"/>
  <c r="F245" i="1"/>
  <c r="D245" i="1"/>
  <c r="F244" i="1"/>
  <c r="D244" i="1"/>
  <c r="F243" i="1"/>
  <c r="D243" i="1"/>
  <c r="D242" i="1"/>
  <c r="F241" i="1"/>
  <c r="D241" i="1"/>
  <c r="D238" i="1"/>
  <c r="D237" i="1"/>
  <c r="F240" i="1"/>
  <c r="D240" i="1"/>
  <c r="F236" i="1"/>
  <c r="D236" i="1"/>
  <c r="F239" i="1"/>
  <c r="D239" i="1"/>
  <c r="D235" i="1"/>
  <c r="F234" i="1"/>
  <c r="D234" i="1"/>
  <c r="F226" i="1"/>
  <c r="D226" i="1"/>
  <c r="F227" i="1"/>
  <c r="D227" i="1"/>
  <c r="F233" i="1"/>
  <c r="D233" i="1"/>
  <c r="D232" i="1"/>
  <c r="F231" i="1"/>
  <c r="D231" i="1"/>
  <c r="F230" i="1"/>
  <c r="D230" i="1"/>
  <c r="F229" i="1"/>
  <c r="D229" i="1"/>
  <c r="F228" i="1"/>
  <c r="D228" i="1"/>
  <c r="D223" i="1"/>
  <c r="F224" i="1"/>
  <c r="D224" i="1"/>
  <c r="F222" i="1"/>
  <c r="D222" i="1"/>
  <c r="F225" i="1"/>
  <c r="D225" i="1"/>
  <c r="F221" i="1"/>
  <c r="D221" i="1"/>
  <c r="F220" i="1"/>
  <c r="D220" i="1"/>
  <c r="D215" i="1"/>
  <c r="F219" i="1"/>
  <c r="D219" i="1"/>
  <c r="D214" i="1"/>
  <c r="D218" i="1"/>
  <c r="F217" i="1"/>
  <c r="D217" i="1"/>
  <c r="F216" i="1"/>
  <c r="D216" i="1"/>
  <c r="D207" i="1"/>
  <c r="F206" i="1"/>
  <c r="D206" i="1"/>
  <c r="D205" i="1"/>
  <c r="F204" i="1"/>
  <c r="D204" i="1"/>
  <c r="D203" i="1"/>
  <c r="D202" i="1"/>
  <c r="D201" i="1"/>
  <c r="F200" i="1"/>
  <c r="D200" i="1"/>
  <c r="D199" i="1"/>
  <c r="F198" i="1"/>
  <c r="D198" i="1"/>
  <c r="F197" i="1"/>
  <c r="D197" i="1"/>
  <c r="F193" i="1"/>
  <c r="D193" i="1"/>
  <c r="D196" i="1"/>
  <c r="F195" i="1"/>
  <c r="D195" i="1"/>
  <c r="F194" i="1"/>
  <c r="D194" i="1"/>
  <c r="F191" i="1"/>
  <c r="D191" i="1"/>
  <c r="F190" i="1"/>
  <c r="D190" i="1"/>
  <c r="F186" i="1"/>
  <c r="D186" i="1"/>
  <c r="D189" i="1"/>
  <c r="D192" i="1"/>
  <c r="D187" i="1"/>
  <c r="F185" i="1"/>
  <c r="D185" i="1"/>
  <c r="F184" i="1"/>
  <c r="D184" i="1"/>
  <c r="F188" i="1"/>
  <c r="D188" i="1"/>
  <c r="D180" i="1"/>
  <c r="D181" i="1"/>
  <c r="F183" i="1"/>
  <c r="D183" i="1"/>
  <c r="F179" i="1"/>
  <c r="D179" i="1"/>
  <c r="F182" i="1"/>
  <c r="D182" i="1"/>
  <c r="D177" i="1"/>
  <c r="F178" i="1"/>
  <c r="D178" i="1"/>
  <c r="D176" i="1"/>
  <c r="F175" i="1"/>
  <c r="D175" i="1"/>
  <c r="F169" i="1"/>
  <c r="D169" i="1"/>
  <c r="D170" i="1"/>
  <c r="F172" i="1"/>
  <c r="D172" i="1"/>
  <c r="F173" i="1"/>
  <c r="D173" i="1"/>
  <c r="F171" i="1"/>
  <c r="D171" i="1"/>
  <c r="F167" i="1"/>
  <c r="D167" i="1"/>
  <c r="F165" i="1"/>
  <c r="D165" i="1"/>
  <c r="F166" i="1"/>
  <c r="D166" i="1"/>
  <c r="F162" i="1"/>
  <c r="D162" i="1"/>
  <c r="F160" i="1"/>
  <c r="D160" i="1"/>
  <c r="F164" i="1"/>
  <c r="D164" i="1"/>
  <c r="F163" i="1"/>
  <c r="D163" i="1"/>
  <c r="D161" i="1"/>
  <c r="D157" i="1"/>
  <c r="D159" i="1"/>
  <c r="D158" i="1"/>
  <c r="F156" i="1"/>
  <c r="D156" i="1"/>
  <c r="D153" i="1"/>
  <c r="F155" i="1"/>
  <c r="D155" i="1"/>
  <c r="D154" i="1"/>
  <c r="D151" i="1"/>
  <c r="D152" i="1"/>
  <c r="F150" i="1"/>
  <c r="D150" i="1"/>
  <c r="F147" i="1"/>
  <c r="D147" i="1"/>
  <c r="D148" i="1"/>
  <c r="D149" i="1"/>
  <c r="D146" i="1"/>
  <c r="D145" i="1"/>
  <c r="F143" i="1"/>
  <c r="F144" i="1"/>
  <c r="F142" i="1"/>
  <c r="D141" i="1"/>
  <c r="D140" i="1"/>
  <c r="F139" i="1"/>
  <c r="D139" i="1"/>
  <c r="F138" i="1"/>
  <c r="D138" i="1"/>
  <c r="F130" i="1"/>
  <c r="D130" i="1"/>
  <c r="D137" i="1"/>
  <c r="D136" i="1"/>
  <c r="D131" i="1"/>
  <c r="F135" i="1"/>
  <c r="D135" i="1"/>
  <c r="F134" i="1"/>
  <c r="D134" i="1"/>
  <c r="F133" i="1"/>
  <c r="D133" i="1"/>
  <c r="F132" i="1"/>
  <c r="D132" i="1"/>
  <c r="F128" i="1"/>
  <c r="D128" i="1"/>
  <c r="D126" i="1"/>
  <c r="F127" i="1"/>
  <c r="D127" i="1"/>
  <c r="D123" i="1"/>
  <c r="F125" i="1"/>
  <c r="D125" i="1"/>
  <c r="F124" i="1"/>
  <c r="F122" i="1"/>
  <c r="D122" i="1"/>
  <c r="D121" i="1"/>
  <c r="D120" i="1"/>
  <c r="F119" i="1"/>
  <c r="D119" i="1"/>
  <c r="F117" i="1"/>
  <c r="D117" i="1"/>
  <c r="D116" i="1"/>
  <c r="F118" i="1"/>
  <c r="D118" i="1"/>
  <c r="D111" i="1"/>
  <c r="F110" i="1"/>
  <c r="D110" i="1"/>
  <c r="F113" i="1"/>
  <c r="D115" i="1"/>
  <c r="D112" i="1"/>
  <c r="F114" i="1"/>
  <c r="D114" i="1"/>
  <c r="F106" i="1"/>
  <c r="D106" i="1"/>
  <c r="F109" i="1"/>
  <c r="D109" i="1"/>
  <c r="F107" i="1"/>
  <c r="D107" i="1"/>
  <c r="D108" i="1"/>
  <c r="F105" i="1"/>
  <c r="D105" i="1"/>
  <c r="D104" i="1"/>
  <c r="D103" i="1"/>
  <c r="D97" i="1"/>
  <c r="D102" i="1"/>
  <c r="F98" i="1"/>
  <c r="D98" i="1"/>
  <c r="D101" i="1"/>
  <c r="F100" i="1"/>
  <c r="D100" i="1"/>
  <c r="F99" i="1"/>
  <c r="D99" i="1"/>
  <c r="D96" i="1"/>
  <c r="D95" i="1"/>
  <c r="F94" i="1"/>
  <c r="D94" i="1"/>
  <c r="F92" i="1"/>
  <c r="D92" i="1"/>
  <c r="D93" i="1"/>
  <c r="F86" i="1"/>
  <c r="D86" i="1"/>
  <c r="D87" i="1"/>
  <c r="F89" i="1"/>
  <c r="D89" i="1"/>
  <c r="D90" i="1"/>
  <c r="D88" i="1"/>
  <c r="F91" i="1"/>
  <c r="F85" i="1"/>
  <c r="D85" i="1"/>
  <c r="F81" i="1"/>
  <c r="D81" i="1"/>
  <c r="F84" i="1"/>
  <c r="D84" i="1"/>
  <c r="F82" i="1"/>
  <c r="D82" i="1"/>
  <c r="F83" i="1"/>
  <c r="D83" i="1"/>
  <c r="D80" i="1"/>
  <c r="D77" i="1"/>
  <c r="F79" i="1"/>
  <c r="D79" i="1"/>
  <c r="F78" i="1"/>
  <c r="D78" i="1"/>
  <c r="D76" i="1"/>
  <c r="D72" i="1"/>
  <c r="F75" i="1"/>
  <c r="D75" i="1"/>
  <c r="D74" i="1"/>
  <c r="F73" i="1"/>
  <c r="D73" i="1"/>
  <c r="F71" i="1"/>
  <c r="D71" i="1"/>
  <c r="D69" i="1"/>
  <c r="D68" i="1"/>
  <c r="F62" i="1"/>
  <c r="D62" i="1"/>
  <c r="D63" i="1"/>
  <c r="D67" i="1"/>
  <c r="F66" i="1"/>
  <c r="D66" i="1"/>
  <c r="D65" i="1"/>
  <c r="F70" i="1"/>
  <c r="D70" i="1"/>
  <c r="D64" i="1"/>
  <c r="F58" i="1"/>
  <c r="D58" i="1"/>
  <c r="F56" i="1"/>
  <c r="D56" i="1"/>
  <c r="D59" i="1"/>
  <c r="D61" i="1"/>
  <c r="F55" i="1"/>
  <c r="D55" i="1"/>
  <c r="D60" i="1"/>
  <c r="F57" i="1"/>
  <c r="D57" i="1"/>
  <c r="F53" i="1"/>
  <c r="D53" i="1"/>
  <c r="D54" i="1"/>
  <c r="D50" i="1"/>
  <c r="F51" i="1"/>
  <c r="D51" i="1"/>
  <c r="D48" i="1"/>
  <c r="F47" i="1"/>
  <c r="D47" i="1"/>
  <c r="F49" i="1"/>
  <c r="D46" i="1"/>
  <c r="D44" i="1"/>
  <c r="F45" i="1"/>
  <c r="D45" i="1"/>
  <c r="D43" i="1"/>
  <c r="D38" i="1"/>
  <c r="D42" i="1"/>
  <c r="F41" i="1"/>
  <c r="D41" i="1"/>
  <c r="F40" i="1"/>
  <c r="D40" i="1"/>
  <c r="F39" i="1"/>
  <c r="D39" i="1"/>
  <c r="D36" i="1"/>
  <c r="F35" i="1"/>
  <c r="D35" i="1"/>
  <c r="F34" i="1"/>
  <c r="D34" i="1"/>
  <c r="F33" i="1"/>
  <c r="D33" i="1"/>
  <c r="F37" i="1"/>
  <c r="D37" i="1"/>
  <c r="D32" i="1"/>
  <c r="D31" i="1"/>
  <c r="F30" i="1"/>
  <c r="D30" i="1"/>
  <c r="F27" i="1"/>
  <c r="D27" i="1"/>
  <c r="D29" i="1"/>
  <c r="D26" i="1"/>
  <c r="F25" i="1"/>
  <c r="D25" i="1"/>
  <c r="D17" i="1"/>
  <c r="F24" i="1"/>
  <c r="D24" i="1"/>
  <c r="F23" i="1"/>
  <c r="D23" i="1"/>
  <c r="F16" i="1"/>
  <c r="D16" i="1"/>
  <c r="F22" i="1"/>
  <c r="D22" i="1"/>
  <c r="F21" i="1"/>
  <c r="D21" i="1"/>
  <c r="F20" i="1"/>
  <c r="D20" i="1"/>
  <c r="F19" i="1"/>
  <c r="D19" i="1"/>
  <c r="F18" i="1"/>
  <c r="D18" i="1"/>
  <c r="F14" i="1"/>
  <c r="D14" i="1"/>
  <c r="F10" i="1"/>
  <c r="D10" i="1"/>
  <c r="D9" i="1"/>
  <c r="D13" i="1"/>
  <c r="F12" i="1"/>
  <c r="D12" i="1"/>
  <c r="F15" i="1"/>
  <c r="D15" i="1"/>
  <c r="F11" i="1"/>
  <c r="D11" i="1"/>
  <c r="F8" i="1"/>
  <c r="D8" i="1"/>
  <c r="D2" i="1"/>
  <c r="D5" i="1"/>
  <c r="D3" i="1"/>
  <c r="F4" i="1"/>
  <c r="D7" i="1"/>
  <c r="D6" i="1"/>
</calcChain>
</file>

<file path=xl/sharedStrings.xml><?xml version="1.0" encoding="utf-8"?>
<sst xmlns="http://schemas.openxmlformats.org/spreadsheetml/2006/main" count="1117" uniqueCount="391">
  <si>
    <t>State</t>
  </si>
  <si>
    <t>Alabama</t>
  </si>
  <si>
    <t>Alaska</t>
  </si>
  <si>
    <t>Arizona</t>
  </si>
  <si>
    <t>Arkansas</t>
  </si>
  <si>
    <t>California</t>
  </si>
  <si>
    <t>Colorado</t>
  </si>
  <si>
    <t>Connecticut</t>
  </si>
  <si>
    <t>Delaware</t>
  </si>
  <si>
    <t>DC</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</si>
  <si>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</si>
  <si>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</si>
  <si>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</si>
  <si>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</si>
  <si>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</si>
  <si>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</si>
  <si>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</si>
  <si>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</si>
  <si>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</si>
  <si>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</si>
  <si>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</si>
  <si>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</si>
  <si>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</si>
  <si>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</si>
  <si>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</si>
  <si>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</si>
  <si>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</si>
  <si>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</si>
  <si>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</si>
  <si>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</si>
  <si>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</si>
  <si>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</si>
  <si>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</si>
  <si>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</si>
  <si>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</si>
  <si>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</si>
  <si>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</si>
  <si>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</si>
  <si>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</si>
  <si>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</si>
  <si>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</si>
  <si>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</si>
  <si>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</si>
  <si>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</si>
  <si>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</si>
  <si>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</si>
  <si>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</si>
  <si>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</si>
  <si>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</si>
  <si>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</si>
  <si>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Type of Policy</t>
  </si>
  <si>
    <t>Date Passed</t>
  </si>
  <si>
    <t>Bill #</t>
  </si>
  <si>
    <t>Description</t>
  </si>
  <si>
    <t>Other links</t>
  </si>
  <si>
    <t>Funding</t>
  </si>
  <si>
    <t>Industry Partnerships/Work-based Learning</t>
  </si>
  <si>
    <t>Dual/Concurrent Enrollment, and Articulation/Early College</t>
  </si>
  <si>
    <t>Industry- recognized Credentials</t>
  </si>
  <si>
    <t>Graduation Requirements</t>
  </si>
  <si>
    <t>Data, Reporting and/or 
Accountability</t>
  </si>
  <si>
    <t>STEM</t>
  </si>
  <si>
    <t>CTE Standards/
Accreditation</t>
  </si>
  <si>
    <t>Technical/
Employability Assessments</t>
  </si>
  <si>
    <t>CTE Teacher Certification/Development</t>
  </si>
  <si>
    <t>Career/Academic Counseling</t>
  </si>
  <si>
    <t>Governance</t>
  </si>
  <si>
    <t>Scheduling/
Extended Learning</t>
  </si>
  <si>
    <t>Prior Learning/
Competency-based Education</t>
  </si>
  <si>
    <t>CTSO/
Leadership Development</t>
  </si>
  <si>
    <t>Applied Bachelor’s Degrees</t>
  </si>
  <si>
    <t>Access/ Equity</t>
  </si>
  <si>
    <t>Legislation</t>
  </si>
  <si>
    <t>Sec</t>
  </si>
  <si>
    <t>Budget</t>
  </si>
  <si>
    <t>All</t>
  </si>
  <si>
    <t>Postsec</t>
  </si>
  <si>
    <t>Adult</t>
  </si>
  <si>
    <t>Postsec/Workforce</t>
  </si>
  <si>
    <t>Sec/Workforce</t>
  </si>
  <si>
    <t>Workforce</t>
  </si>
  <si>
    <t>Sec/Postsec</t>
  </si>
  <si>
    <t>MSSC credentials</t>
  </si>
  <si>
    <t xml:space="preserve">Governor Kay Ivey announced a partnership of the Alabama Community College System and the Manufacturing Skills Standards Council (MSSC) to offer industry-approved credentials at 2-year colleges across the state.
</t>
  </si>
  <si>
    <t>Federal Policy</t>
  </si>
  <si>
    <t xml:space="preserve">AL adopted a new accountability system under ESSA that includes ACT WorkKeys, dual credit, and industry certification. </t>
  </si>
  <si>
    <t>ESSA</t>
  </si>
  <si>
    <t xml:space="preserve">Makes minor changes to legislation passed in the 2016 session reauthorizing funding for Arizona's Joint Technical Education Districts (HB5125). Specifically, HB2229 aims to remove the requirement that JTED programs lead to certification or licensure so that programs without relevant or accessible industry credentials may be supported. </t>
  </si>
  <si>
    <t xml:space="preserve">Establishes the rural STEM program fund to be administered by the Department of Education. The law directs the Department of Education to develop grant application guidelines and criteria and ensure that content delivered through benefitting programs is aligned with board-approved STEM standards. </t>
  </si>
  <si>
    <t xml:space="preserve">The Arizona State Board of Education approved a new process to identify and validate industry-recognized credentials. Under the policy, industry-recognized credentials would be identified by industry advisory committees, examined against a quality rubric to determine their value, reviewed by the Arizona Career and Technical Quality Commission, and ultimately approved by the State Board of Education. This process was developed to support Arizona's new K-12 accountability system, which considers student credential attainment in a high school's score. </t>
  </si>
  <si>
    <t xml:space="preserve">Arizona's 2017-18 General Appropriations Act appropriates $1 million to be used for Joint Technical Education District (JTED) completion grants. Grants are designed to help students who complete at least 50 percent of a JTED program in high school and go on to complete their program after high school. The budget also includes $100,000 for a Jobs for Arizona Graduates program to help at-risk students complete high school and secure jobs. </t>
  </si>
  <si>
    <t>Sec/Postsec/Adult</t>
  </si>
  <si>
    <t xml:space="preserve">Establishes the Arkansas Workforce Challenge Scholarship Program to pay up to $800 per academic year to cover tuition, textbooks and equipment for Arkansas residents pursuing an associate degree or certificate in selected programs in industry, health care or information technology. </t>
  </si>
  <si>
    <t xml:space="preserve">Under the Revenue Stabilization Law, the Department of Higher Education received an additional $8 million for Workforce Grants. </t>
  </si>
  <si>
    <t>Directs the Department of Career Education to review and provide a list of third-party industry-recognized assessments.</t>
  </si>
  <si>
    <t xml:space="preserve">The Arkansas Educational Support and Accountability Act requires all students beginning in the 2018-19 school year to develop a student success plan by the end of eighth grade that guides them along pathways to graduation and includes college and career planning components. The Act directs school districts to use information from student success plans to help learners prepare for college and career success, including by providing supports to increase the attainment of career credentials or certificates. The student success plan is to be updated annually in collaboration with parents and students. Additionally, the Act describes a process for identifying and supporting schools identified for support and improvement under the Every Student Succeeds Act. </t>
  </si>
  <si>
    <t>Initiative</t>
  </si>
  <si>
    <t xml:space="preserve">Repeals a requirement that the Colorado Commission on Higher Education define and create criteria for postsecondary academic or CTE programs and review and approve new programs. Instead, institutions of higher education are permitted to create, modify or discontinue academic and CTE programs so long as they are aligned with the institution's mission. Also repeals a performance-based funding plan for postsecondary institutions. </t>
  </si>
  <si>
    <t xml:space="preserve">The CO Commission on Higher Education released an update to the 2012 Master Plan, identifying strategies to improve postsecondary credential attainment, and set an attainment goal of 66 percent of adults by 2025. </t>
  </si>
  <si>
    <t xml:space="preserve">Requires public school boards and charter institutions to raise awareness about career pathways and military enlistment opportunities by integrating them into students' individual career and academic plans, which are developed at the beginning of ninth grade. </t>
  </si>
  <si>
    <t>Directs the Department of Education to create and maintain a publicly available computer science resource bank to house course standards, lesson plans, learning resources and materials for professional development. The resource bank can be funded by gifts, grants or donations from public or private sources.</t>
  </si>
  <si>
    <t xml:space="preserve">Allows students to receive a STEM endorsement on their high school diploma if they complete 12 credit hours in STEM and complete a capstone project. </t>
  </si>
  <si>
    <t xml:space="preserve">Requires the state board of education to set minimum achievement standards for high school graduates to demonstrate college and career readiness and requires public schools and districts to collect and report information on the number of students achieving those standards. </t>
  </si>
  <si>
    <t>Converts the Connecticut technical high school system to a separate executive state agency that is no longer operated under the Department of Education. The bill sets up a three-year transition plan that allows the technical high school system to be independent by the 2019-20 school year.</t>
  </si>
  <si>
    <t xml:space="preserve">CT's ESSA accountability plan includes CTE participation and postsecondary enrollment. </t>
  </si>
  <si>
    <t xml:space="preserve">Gives the Office of the State Superintendent of Education the authority to issue grants to increase access to postsecondary and career education opportunities including CTE, dual enrollment and more. </t>
  </si>
  <si>
    <t xml:space="preserve">Eliminates the Delaware Tech Prep consortium and transfers staff to the Department of Education with the responsibility of expanding articulation agreements and dual enrollment coursework for CTE programs.  </t>
  </si>
  <si>
    <t>Rise to 55</t>
  </si>
  <si>
    <t>During the 2017 legislative session, $85 million was appropriated to the Florida Job Growth Grant Fund to fund economic development projects that enhance community infrastructure or develop workforce training programs.  Florida’s public postsecondary institutions that offer workforce training programs are eligible recipients of these funds.</t>
  </si>
  <si>
    <t xml:space="preserve">Florida's ESSA state plan includes dual enrollment and industry certification as measures of college and career readiness. </t>
  </si>
  <si>
    <t xml:space="preserve">Georgia's ESSA accountability plan includes measures of dual enrollment, CTAE completion, industry credential attainment and work-based learning. </t>
  </si>
  <si>
    <t>Executive Action</t>
  </si>
  <si>
    <t xml:space="preserve">Makes a technical change to existing law to require public schools to provide counseling services to students related to opportunities to earn postsecondary CTE credit and ensure students can receive dual credit for postsecondary CTE courses. </t>
  </si>
  <si>
    <t>In January 2017, Governor "Butch" Otter launched the Governor's Workforce Development Task Force composed of 17 industry leaders in different priority sectors in the state. The task force was assigned to develop recommendations for strengthening the Idaho workforce, specifically looking into partnerships, capacity building, career advising and communications. In June, the task force finalized its recommendations, including, among others, increasing the role of an industry-driven workforce development council, establishing a workforce development training fund, strengthening K-through-Career pathways, strengthening career advisement, and expanding CTE programs and apprenticeships.</t>
  </si>
  <si>
    <t>Board Action</t>
  </si>
  <si>
    <t xml:space="preserve">Provides for the establishment of alternative pathways for adults to earn a secondary diploma. Such programs are to be operated by eligible colleges, non-profits partnering with the regional superintendent, service center, or school districts. Under the legislation, programs must include CTE courses leading to industry certification in high-growth, high-demand industry sectors or dual credit. </t>
  </si>
  <si>
    <t xml:space="preserve">Permits individuals holding CTE endorsements on an Educator License with Stipulations to substitute teach in CTE classrooms. Also waives a requirement that provisional CTE endorsed teachers undergo 20 semester hours of coursework to renew their license. </t>
  </si>
  <si>
    <t xml:space="preserve">Requires school districts to notify 11th and 12th grade students about any dual enrollment or dual credit opportunities. </t>
  </si>
  <si>
    <t xml:space="preserve">Allows eligible postsecondary students to use certain grants to pay for approved prior learning assessments and count credit earned toward part-time or full-time attendance requirements. Also creates a tuition and fee exemption reimbursement fund. </t>
  </si>
  <si>
    <t>Due to lower than expected revenue during FY2017, the Iowa Legislature implemented a mid-year spending reduction through SF130. The bill directly reduced community college state general aid by $3 million and directed the Iowa Department of Management to identify an additional $11.5 million in reductions. As a result, community college state general aid was reduced by an additional $1.75 million. In total, state community college aid for FY17 was reduced from the initial allocation of $204 million to $199 million.</t>
  </si>
  <si>
    <t>Sec/Adult</t>
  </si>
  <si>
    <t>Sec/Postsec/Workforce</t>
  </si>
  <si>
    <t xml:space="preserve">The Kentucky Council on Postsecondary Education launched a statewide program called Project Graduate to help adult learners with 80 or more college credits complete a degree. The initiative is part of Kentucky's efforts to increase the population of Kentucky adults with a credential to 60 percent by 2030. Under the program, campuses offer a range of services for adult near-completers, including credit for prior learning, personalized advising and more. </t>
  </si>
  <si>
    <t>Postsec/Adult</t>
  </si>
  <si>
    <t xml:space="preserve">Kentucky Commissioner of Education Stephen Pruitt announced a statewide initiative to strengthen computer science pathways and expand opportunities for students to earn industry-recognized credentials. Under the initiative, the Department of Education will work to develop state-based computer science standards, expand student industry certifications, and provide professional development opportunities for math, science and CTE teachers to earn computer science credentials. Additionally, students will be able to apply computer science coursework -- such as the AP Computer Science Principles course, which the state aims to expand to at least 150 additional high schools -- to meet science credit graduation requirements. The Kentucky Department of Education is also working closely with districts to further expand computer science career opportunities. Interested districts complete a computer science implementation plan and will receive professional development, instructional materials, stipends for teacher summer learning experiences, access to mentorship networks and funds to cover AP Computer Science examinations. Thirty-three districts and seven Area Technology Centers were selected to participate in the initiative during the 2017-18 school year.. </t>
  </si>
  <si>
    <t>In response to several years of budget cuts in the higher education system, the Louisiana Community and Technical College System announced an effort to consolidate campuses to cut costs. Through the effort, eight campuses will be shifted under the control of neighboring campuses by 2018.</t>
  </si>
  <si>
    <t xml:space="preserve">Urges the State Board of Elementary and Secondary Education to devise a plan to allow computer science courses to satisfy high school graduation requirements for science. </t>
  </si>
  <si>
    <t xml:space="preserve">Louisiana's ESSA accountability plan includes measures of dual enrollment, industry certification and access to career pathways. </t>
  </si>
  <si>
    <t>WIOA</t>
  </si>
  <si>
    <t xml:space="preserve">In July, the Maine legislature passed a biennial budget that allocated $10 million for a Community College System Strategic Workforce Initiative, designed to provide jobs training and work skills development. </t>
  </si>
  <si>
    <t>Postsec/Workforce/Adult</t>
  </si>
  <si>
    <t xml:space="preserve">Directs the STEM council to form a computer science education task force to devise a framework for integrating computer science education into K-12 education pathways. The task force is directed to provide recommendations by January 15, 2018. </t>
  </si>
  <si>
    <t xml:space="preserve">In addition to making changes to Maine statute to conform with the Workforce Innovation and Opportunity Act, also designates the Center for Workforce Research and Information as the body responsible for annually identifying a list of high-priority occupations that provide opportunity for employment in jobs with high compensation, are approved by the Workforce Board, and are approved by the Governor. </t>
  </si>
  <si>
    <t xml:space="preserve">Extends the amount of time that the Maryland Longitudinal Data System (MLDS) can use student and workforce data from five to 20 years after the exit date from an educational institution in the state. </t>
  </si>
  <si>
    <t>Establishes a state accountability system that must include at least three school quality indicators, including school climate surveys. Other options for indicators include opportunities to participate in AP, IB, CTE or dual enrollment. This law was vetoed by Governor Hogan, but his veto was overridden by the legislature. Maryland's final submitted ESSA accountability plan includes CTE concentration, dual enrollment, youth apprenticeships and industry certifications.</t>
  </si>
  <si>
    <t xml:space="preserve">Expands the occupational experience requirements for CTE teacher certification to include teaching experience in the career area to be taught. Also changes the requirements for a work-based learning coordinator endorsement by reducing the number of hours of work experience needed from 1,500 to 1,000. </t>
  </si>
  <si>
    <t xml:space="preserve">Designates the Division of Workforce Development and Adult learning as the state apprenticeship agency and directs the Division to approve apprentices, apprenticeship programs and standards registered in other states. </t>
  </si>
  <si>
    <t>Workforce/Adult</t>
  </si>
  <si>
    <t>MOU</t>
  </si>
  <si>
    <t xml:space="preserve">A Memorandum of Understanding was signed between the Massachusetts Office of Education, Department of Early Education and Care, Department of Elementary and Secondary Education, Department of Higher Education, Executive Office of Labor and Workforce Development, Department of Unemployment Assistance and Department of Career Services to establish a state longitudinal data system for the purposes of studying, evaluating and conducting other analytical projects to improve education and training programs. </t>
  </si>
  <si>
    <t>Program</t>
  </si>
  <si>
    <t xml:space="preserve">Requires school counselors to complete at least 25 hours of professional development covering college preparation and selection counseling and 25 hours of professional development covering career counseling in order to renew their licenses. </t>
  </si>
  <si>
    <t>Michigan's proposed accountability plan under ESSA includes students successfully completing dual enrollment, early college high school and CTE.</t>
  </si>
  <si>
    <t>Going PRO Campaign</t>
  </si>
  <si>
    <t>Source</t>
  </si>
  <si>
    <t>Mississippi's ESSA accountability plan includes measures of dual credit and industry certification.</t>
  </si>
  <si>
    <t xml:space="preserve">Eliminates the modified occupational diploma and Career Track pathways to graduation. Such pathways are duplicative under the state board of education's revised graduation requirements. </t>
  </si>
  <si>
    <t>Missouri Community College Workforce Development Network</t>
  </si>
  <si>
    <t>Missouri's 12 community colleges formed a new partnership called the Missouri Community College Workforce Development Network to share resources, curriculum and faculty to meet businesses' workforce development needs.</t>
  </si>
  <si>
    <t xml:space="preserve">Montana's ESSA accountability plan includes CTE concentration and dual enrollment. </t>
  </si>
  <si>
    <t xml:space="preserve">HB308 creates an apprenticeship tax credit for employers that provides $750 for each apprentice in a state-registered apprenticeship program and $1500 for each apprentice who is a military veteran. This legislation also requires providing information about apprenticeship to high schools. 
</t>
  </si>
  <si>
    <t xml:space="preserve">Establishes a Nevada Promise program to award last-dollar scholarships for students attending two-year community colleges and appropriates $3.5 million for the program. Eligible students are required to be enrolled in at least 12 credit hours, complete community service and maintain a GPA of 2.5. Scholarship recipients are also matched with a mentor and required to meet with their mentor at least twice to renew the scholarship. The program is scheduled to begin in 2018. </t>
  </si>
  <si>
    <t xml:space="preserve">Beginning with the 2018-19 school year, SB241 requires the Superintendent of Public Instruction to recognize students who excel in STEM through a State Seal of STEM program. To receive a State Seal of STEM, students must maintain a GPA of 3.25; earn at least nine credits in STEM-related coursework, which may include CTE; and demonstrate proficiency in math and science through such means as AP exams, college-credit-bearing coursework and the ACT National Career Readiness Certificate. Also establishes a State Seal of STEAM to recognize students excelling in fine arts as well as STEM coursework. </t>
  </si>
  <si>
    <t xml:space="preserve">SB200 requires that all public schools provide a state-approved computer science course and amends graduation requirements to allow students to receive a fourth credit of mathematics or a third credit of science for certain approved computer science courses. The law also requires school districts to integrate computer science education into professional development for STEM teachers. Finally, SB200 creates a computer science subcommittee under the state Advisory Council on STEM to develop recommendations about curriculum and materials for computer science courses. </t>
  </si>
  <si>
    <t xml:space="preserve">New Hampshire approved a state accountability plan under ESSA that would value graduating seniors who complete dual enrollment, earn a credential or complete a career pathways program. </t>
  </si>
  <si>
    <t xml:space="preserve">This legislation expands CTE course enrollment to sophomores. It also establishes a dual and concurrent enrollment program for high school and CTE center students. Students may take up to two courses in grade 11 and two courses in grade 12 in STEM and STEM-related fields that support postsecondary success and New Hampshire’s workforce needs. The state will reimburse CCSNH institutions up to $250 per student per course. In addition, each high school must designate a coordinator to address registration, program evaluation, counseling and support services. </t>
  </si>
  <si>
    <t>Career Connections Expansion</t>
  </si>
  <si>
    <t>"65 by 25" goal</t>
  </si>
  <si>
    <t>New Jersey's Department of Labor &amp; Workforce Development is investing $8.4 million into expanding the state's talent development centers, which create partnerships between industries and state colleges to offer training and employment opportunities. The current talent development centers focusing on advanced manufacturing, health care and logistics will be joined by new centers for life sciences, financial services, hospitality and tourism, and construction and utilities.</t>
  </si>
  <si>
    <t xml:space="preserve">New Jersey's FY18 budget appropriated $3 million for the County Vocational School District Partnership Grant Program, up from $1 million in the prior year's budget. Funds are to be allocated for grants to county vocational school districts to partner with business, other school districts, county colleges and other entities to create high-quality CTE programs in existing facilities. </t>
  </si>
  <si>
    <t xml:space="preserve">New Mexico's ESSA plan was one of the first plans approved by the U.S. Department of Education and includes a number of strategies to strengthen CTE and career readiness. Notably, the plan adopts a new accountability system, to be implemented in the 2018-19 school year, that measures industry credential attainment and STEM readiness. </t>
  </si>
  <si>
    <t xml:space="preserve">New York's ESSA accountability system will measure students graduating with a CTE endorsement, receiving industry-recognized credentials or passing a CTE exam. </t>
  </si>
  <si>
    <t>A3009 creates the Empire State Apprenticeship Tax Credit, which provides up to $10 million (in the budget) annually to employers who hire apprentices. Employers engaged with in-demand occupations or regional growth industry sectors, including clean energy, health care and technology, may receive preference. The tax credit increases for apprentices further along in their programs, and for apprentices that are disadvantaged youth.</t>
  </si>
  <si>
    <t>The State Board of CTE updated secondary teacher licensing requirements to include new policies for alternative licensure. Among other requirements, an individual pursing alternative licensure must have an offer of employment; have a relevant bachelor’s degree, as determined by the CTE State Supervisor for that area of study, with consideration for work experience taken into account when determining relevance of the bachelor’s degree; and complete courses on the philosophy of CTE and how to manage a CTSO during the provisional period.</t>
  </si>
  <si>
    <t>Codifies existing practice allowing the state’s IT department to share unemployment insurance data for approved uses, including research on education and workforce development outcomes, with a memorandum of understanding.</t>
  </si>
  <si>
    <t xml:space="preserve">Ohio's ESSA accountability plan measures industry credential attainment and dual credit attainment. </t>
  </si>
  <si>
    <t>The Ohio Department of Education announced in December the requirements for a new OhioMeansJobs-Readiness seal that identifies graduates who have demonstrated the professional skills necessary for the workforce. The seal was established by the Ohio state legislature under HB49, passed earlier in the year, and includes a list of 15 industry-validated skills, such as work ethic, teamwork and critical thinking, that must be confirmed by three experienced mentors. The seal will be available beginning with the graduating class of 2018.</t>
  </si>
  <si>
    <t>Launch Oklahoma, which was created by executive order on December 29, 2016, released its strategic plan in 2017. Launch Oklahoma establishes the goal to increase the number of Oklahomans 25-64 years-old with education or training beyond high school to 70 percent by 2025. The strategic plan focuses on increasing awareness, ensuring access and college and career readiness, and engaging employers.</t>
  </si>
  <si>
    <t xml:space="preserve">Requires the State Board of Education to adopt a system of career and academic planning into statewide graduation requirements. Under the system, all students must complete an Individual Career Academic Plan (ICAP) to qualify for a standard diploma. The plan must include career- and college-interest surveys, college and career goals, course sequences related to such goals, a record of the student's academic progress, and service-learning or work-based learning experiences. The ICAP system is to be piloted in the 2017-18 and 2018-19 school year and rolled out statewide in 2019-20. </t>
  </si>
  <si>
    <t>Governor Mary Fallin filed executive order 1017-34 to establish “Earn &amp; Learn Oklahoma”.  The order implements a new goal to increase the number of paid internships and apprenticeships in Oklahoma to 20,000 each year by 2020, a goal that has been reflected under the Oklahoma Works strategic plan. Currently there are approximately 15,000 work-based learning placements in Oklahoma each year.</t>
  </si>
  <si>
    <t>Amends the High School Graduation and College and Career Readiness Act, a ballot measure that was passed in 2016 and called on the state legislature to appropriate $800 per student to support CTE, college credit and dropout prevention activities. The changes direct school districts to use their funds for either one, two or all three of these goals, depending on the amount the district receives, and allows school districts to use up to 15 percent for eighth-grade opportunities. It also expands eligibility to include the Oregon School for the Deaf and educational programs under the Youth Corrections Education Program or the Juvenile Detention Education Program.</t>
  </si>
  <si>
    <t xml:space="preserve">Directs the Department of Education to work with the Apprenticeship and Training Division of the Bureau of Labor and Industries to provide information regarding apprenticeship opportunities to high school students. </t>
  </si>
  <si>
    <t xml:space="preserve">HB202 permits CTE concentrators, in lieu of proficiency on Keystone Exams, to demonstrate proficiency through grades and alternate assessments or relevant industry-recognized certifications. Keystone Exams will be required beginning in 2019. </t>
  </si>
  <si>
    <t xml:space="preserve">Pennsylvania's ESSA accountability plan measures students who complete career awareness and exploration activities. </t>
  </si>
  <si>
    <t>Pennsylvania's FY 2018 budget funds CTE equipment grants at $2.55 million, down from $3 million in 2016-17.</t>
  </si>
  <si>
    <t xml:space="preserve">The major provision in Rhode Island's FY18 budget related to CTE was $2.8 million to pilot free tuition for in-state students attending the Community College of Rhode Island. The budget also appropriated new funds to cover dual enrollment fees.
</t>
  </si>
  <si>
    <t xml:space="preserve">Rhode Island's ESSA accountability system will measure students who earn industry-recognized credentials and complete dual credit. </t>
  </si>
  <si>
    <t>HB3969 directs the state’s Revenue and Fiscal Affairs Office, in collaboration with other agencies, to develop and maintain a state longitudinal data system that includes information necessary to evaluate students’ college and career readiness. It also creates a competency-based education accountability pilot program, codifies the Profile of the South Carolina graduate in the vision for the state's performance-based accountability system, eliminates requirements to offer the WorkKeys assessment in exchange for a "career readiness" assessment, and requires school report cards to document college and career preparedness of high school graduates.</t>
  </si>
  <si>
    <t xml:space="preserve">South Carolina's ESSA plan includes dual credit, completion of a CATE program with a nationally-recognized credential, completion of an Apprenticeship Carolina youth apprenticeship, and more. </t>
  </si>
  <si>
    <t xml:space="preserve">The South Dakota State Board of Education approved a $5 per credit tuition increase for students at the state's four technical colleges, equating to about $150 in additional costs per year for full-time students. </t>
  </si>
  <si>
    <t xml:space="preserve">South Dakota's ESSA accountability plan includes CTE coursework, dual credit and more. </t>
  </si>
  <si>
    <t xml:space="preserve">Tennessee's ESSA accountability system includes students completing industry certification and dual credit. </t>
  </si>
  <si>
    <t>Requests the Department of Education and the State Board of Education to study and report on the best practices of other states for funding career preparation and postsecondary opportunities, as part of leveraging flexibility allowed under ESSA.</t>
  </si>
  <si>
    <t>HB1161 adopts the “Tennessee Tri-Star Scholar” designation to recognize students who graduate from high school with a composite score of 19 or higher on the ACT or an equivalent score on the SAT, and a state-approved capstone industry certification.</t>
  </si>
  <si>
    <t xml:space="preserve">The final budget includes a one-time increase of $16.25 million for College, Career and Technical Education, to be used for CTE equipment in secondary education. The Commissioner announced that the funds for equipment will be allocated to nearly 94 percent of the districts in the state. Additionally, the budget includes a $1.7 million, or 7 percent, increase for the community college system and a $4.8 million, or 7.9 percent, boost for the Colleges of Applied Technology. </t>
  </si>
  <si>
    <t>SB0102 extends the Tennessee Council for CTE for four years, to June 30, 2021.</t>
  </si>
  <si>
    <t xml:space="preserve">SB1418 increases the size of the Tennessee Council for CTE and changes the council's administrative attachment from the Department of Education to the Board of Regents. </t>
  </si>
  <si>
    <t>SB276 eliminates the cap of 150 students for the adult high school diploma and industry certification charter school pilot program to accommodate some of the hundreds on the wait list. It also requires the commissioner to develop and adopt performance metrics, including the percentage of students who complete CTE courses and gain industry certification and the percentage who reap a significant earnings increase from the program.</t>
  </si>
  <si>
    <t xml:space="preserve">Empowers public junior colleges to address workforce shortages by expanding the number of these institutions that can offer bachelor's degrees in applied science, applied technology and nursing. </t>
  </si>
  <si>
    <t xml:space="preserve">Allows public state colleges to be eligible to participate in the Jobs and Education for Texans (JET) grant program, in addition to public junior colleges, public technical institutes and independent school districts. The JET grant program allocates $10 million each biennium to defray start-up costs associated with the development of CTE programs. </t>
  </si>
  <si>
    <t xml:space="preserve">Texas’s budget for 2018-2019 raised investment in higher education by 1.6 percent, including $28.8 million for community colleges. It also requires that the Perkins reserve fund distribution criteria include the percentage of a school district’s CTE courses that meet a regional labor market need as defined by the Local Workforce Development Board. 
</t>
  </si>
  <si>
    <t xml:space="preserve">SB719 expands the requirement that THECB collect data on students with intellectual and developmental disabilities in for-credit programs to include workforce continuing education programs. It also establishes a pilot project to study these students' outcomes, program expenses and student attainment of milestones measured in an existing performance funding formula. </t>
  </si>
  <si>
    <t xml:space="preserve">Requires the State Board of Education to develop rigorous computer science curricula and standards, and allow students to apply credit to their graduation plan as a substitute for either advanced math or science. </t>
  </si>
  <si>
    <t xml:space="preserve">HB639 is designed to reduce the risk involved in offering work-based learning activities. The legislation permits school districts and charter schools to purchase insurance to cover businesses and students participating in CTE programs, and provides CTE students with immunity from liability. </t>
  </si>
  <si>
    <t>Directs the Texas Workforce Commission, the Texas Higher Education Coordinating Board and the Texas Education Agency to jointly develop and annually review a list of industry-recognized credentials that can be earned by high school CTE students. Each agency is directed to post the list on their respective websites, along with the associated Career Cluster, the awarding entity, education level required to complete the certification, any associated fees and the average salary related to each credential. The list must be completed and published no later than September 1, 2018.</t>
  </si>
  <si>
    <t xml:space="preserve">The legislation directs the Department of Family and Protective Services and related entities such as technical colleges and workforce development boards to help current and former foster care youth gain high school diplomas, industry certifications and career guidance. </t>
  </si>
  <si>
    <t xml:space="preserve">Directs the Texas Workforce Commission to provide the Texas Education Agency with county- or region-level information about CTE partnership opportunities with business and industry as well as work-based learning and externship opportunities available to students and teachers. Prior to the bill's passage, the Workforce Commission provided current and projected employment opportunities to the Texas Education Agency to support local districts in the planning and implementation of CTE programs. </t>
  </si>
  <si>
    <t xml:space="preserve">SB194 establishes the Utah Data Research Center, replacing the Utah Data Alliance as the state’s longitudinal data system. The UDRC will be advised by a cross-agency board that includes CTE representatives, and the State Board of Education, the State Board of Regents, the Utah System of Technical Colleges, the Department of Workforce Services and the Department of Health are required to contribute data. The bill also calls on the UDRC to create a public online data visualization portal with aggregated and de-identified data. </t>
  </si>
  <si>
    <t>SB117 modifies current law to extend performance funding to applied technical colleges. The Utah System of Technical Colleges must develop a performance funding formula that includes certificates; short-term occupational training completion; secondary student completion; placement in related employment, military service or continuing education; and institutional efficiency.</t>
  </si>
  <si>
    <t>Renames the Utah College of Applied Technology the Utah System of Technical Colleges</t>
  </si>
  <si>
    <t xml:space="preserve">Creates a fund to compensate local education agencies for students who graduate early through a competency-based education program. </t>
  </si>
  <si>
    <t>SB190 creates the Computing Partnerships Grants program, administered by the STEM Action Center, to provide comprehensive K-16 computing partnerships that include outreach, instruction, work-based learning, industry engagement, stacked credentials, competency-based learning and secondary-postsecondary collaboration. The program will incentivize public schools and school districts to work with the STEM Action Center, the Utah State Board of Education, Talent Ready Utah, industry representatives and secondary partners to design and implement the partnerships.</t>
  </si>
  <si>
    <t>Requires community colleges to develop policies and procedures for awarding academic credit for successful completion of a state-approved registered apprenticeship credential.</t>
  </si>
  <si>
    <t xml:space="preserve">This legislation expands tuition grants to Virginia community college students who were in foster care or Department of Social Services custody, or were considered a special needs adoptee, and are enrolled in a noncredit workforce credential training programs. Previously the grant had only been available for for-credit programs. </t>
  </si>
  <si>
    <t>Permits local school boards to waive certain licensure requirements for CTE educators seeking initial licensure or renewal of a license with a CTE endorsement.</t>
  </si>
  <si>
    <t>SB1159 enables completion of the Armed Services Vocational Aptitude Battery (ASVAB) to satisfy the requirement for earning a CTE credential, in addition to industry certification, a state licensure examination, a national occupational competency assessment or the Virginia workplace readiness skills assessment.</t>
  </si>
  <si>
    <t xml:space="preserve">Permits local school boards to apply for and establish School Divisions of Innovation (SDIs) that provide students with alternative, evidence-based opportunities to improve learning and performance. The State Board of Education is directed to establish SDI regulations that address goals and performance targets for college, career and citizenship readiness; work-based learning opportunities and exposure to content experts; and professional development, among other topics.  </t>
  </si>
  <si>
    <t xml:space="preserve">HB1663 requires Northern Virginia Community College, in consultation with the state Department of Education and supported by an advisory committee, to contract for computer science training and related teacher professional development for the purpose of improving computer science literacy.   </t>
  </si>
  <si>
    <t>Changes the composition of the Virginia Board of Workforce Development to conform to requirements of the Workforce Innovation and Opportunity Act (WIOA), specifically by adding representatives from an apprenticeship program and a private career college. HB2106 also removes the Career Readiness Certificate from a list  of industry credentials that align with high-demand occupations and substitutes "a credential that determines career readiness."</t>
  </si>
  <si>
    <t xml:space="preserve">Washington's ESSA plan includes measures of students completing dual enrollment and CTE tech prep coursework. </t>
  </si>
  <si>
    <t xml:space="preserve">West Virginia's ESSA accountability system includes students completing college credit or a four-course, state-approved CTE program of study. </t>
  </si>
  <si>
    <t xml:space="preserve">HB2555 enables more employers to quality for tax credits for hiring registered apprentices in construction trades by removing a requirement that the apprenticeships be administered by labor and management trustees. </t>
  </si>
  <si>
    <t xml:space="preserve">State Superintendent of Public Instruction Tony Evers approved K-12 computer science education standards for Wisconsin in June. The standards were developed by a committee that included CTE teachers, postsecondary instructors and administrators, and were subject to public review. School districts will have the option to use these standards in full or in part, or to create their own. </t>
  </si>
  <si>
    <t>The CTE teacher education program at the University of Wyoming, the only in the state, is closing due to low enrollment. The decision followed listening sessions and a public comment period.</t>
  </si>
  <si>
    <t xml:space="preserve">Wyoming's ESSA accountability system will count students who earn dual credit, complete a CTE pathway and earn a passing score on a CTE exam or industry certification exam. </t>
  </si>
  <si>
    <t>Policy Category</t>
  </si>
  <si>
    <t>Number of states</t>
  </si>
  <si>
    <t>States</t>
  </si>
  <si>
    <t>AL AK, AZ, AR, CA, CO, CT, DC, FL, GA, HI, ID, IL, IN, IA, KS, KY, LA, ME, MD, MA, MI, MN, MO, MT, NV, NH, NJ, NY, NC, OH, OK, OR, PA, RI, SD, TN, TX, UT, VT, VA, WA, WV, WI</t>
  </si>
  <si>
    <t>AL, AZ, AR, CO, DE, FL, GA, HI, ID, IL, IN, KY, LA, ME, MD, MI, MN, MS, MO, MT, NV, NH, NJ, NM, NY, NC, ND, OH, OK, PA, RI, SC, TN, TX, UT, VT, VA, WI, WY</t>
  </si>
  <si>
    <t>CO, CT, DE, IL, IN, IA, KY, LA, MD, MI, MS, MO, NV, NY, OH, OK, PA, SC, TN, TX, VA, WA, WV</t>
  </si>
  <si>
    <t>AL, AZ, AR, CA, CO, CT, DE, FL, GA, ID, IL, IN, KS, KY, LA, ME, MD, MA, MI, MS, MT, NV, NH, NM, NY, NC, ND, OH, OK, PA, RI, SC, SD, TN, TX, UT, VT, VA, WA, WV, WI, WY</t>
  </si>
  <si>
    <t>CO, CT, DE, IL, IA, KY, SD, TX, VA, WV, WI</t>
  </si>
  <si>
    <t>AL, AZ, AR, KY, MN, MI, MO, NV, NY, NC, ND, PA, SC, VA, WY</t>
  </si>
  <si>
    <t>AL, AR, CA, CO, ID, IL, IN, KY, MI, MN, MO, MT, NV, NH, NJ, NC, OH, OK, OR, PA, TX, VT, WA</t>
  </si>
  <si>
    <t>AL, AR, CO, CT, DE, ID, IL, IN, IA, LA, ME, MD, MA, MI, MO, NV, NC, SC, SD, TN, UT, VT, VA</t>
  </si>
  <si>
    <t>CT, IN, KY, NV, ND, OH, PA, SC, UT, VA, WI</t>
  </si>
  <si>
    <t>CA, ND, TX</t>
  </si>
  <si>
    <t>TX</t>
  </si>
  <si>
    <t>AZ, IL, KY, ME, MD, MA, MN, NH, NY, NC, OH, OR, TN, TX, VT, VA, WA, WI</t>
  </si>
  <si>
    <t>System</t>
  </si>
  <si>
    <t>Secondary</t>
  </si>
  <si>
    <t>Postsecondary</t>
  </si>
  <si>
    <t>Number of policies</t>
  </si>
  <si>
    <t>HB3349 amends current law to develop an abbreviated educator preparation program leading to probationary and standard certification in trade and industrial workforce training. About $200,000 for each fiscal year was appropriated in the budget to implement this legislation.</t>
  </si>
  <si>
    <t>HB2010</t>
  </si>
  <si>
    <t>SB802</t>
  </si>
  <si>
    <t>SB826</t>
  </si>
  <si>
    <t>SB1091</t>
  </si>
  <si>
    <t>SB802 directs the Texas Higher Education Coordinating Board to conduct a study identifying best practices in ensuring that courses transferred to a postsecondary institution for course credit, including courses offered for dual credit, apply toward a degree program at that institution.</t>
  </si>
  <si>
    <t>SB826 changes course requirements, enabling an advanced CTE course to substitute for the third and fourth mathematics credits or the third and fourth science credits, if the content is similar in substance and rigor.</t>
  </si>
  <si>
    <t>SB1091 amends current law to clarify that a dual-credit course offered under a college credit program must be either 1) in the core curriculum of the public postsecondary institution providing credit; 2) a CTE course; or 3) a foreign language course. The bill also states that this requirement does not apply when the dual-credit course is offered as part of an early college program.</t>
  </si>
  <si>
    <t xml:space="preserve">The South Dakota Board of Education adopted new CTE standards for Agriculture, Food and Natural Resources; Arts, Audio-Video Technology and Communications; Finance; Health Science; Human Services; and Manufacturing. The standards were developed by workgroups of secondary CTE teachers, postsecondary faculty, industry representatives and others. Standards are in development for Business Management and Administration; Government and Public Administration; Hospitality and Tourism; Marketing; and Transportation, Distribution and Logistics. </t>
  </si>
  <si>
    <t>ESSA Plan</t>
  </si>
  <si>
    <t xml:space="preserve">California's ESSA state plan includes a Career and College Indicator that measures dual enrollment and CTE pathway completion. </t>
  </si>
  <si>
    <t>AL, AZ, AR, CA, CT, DC, DE, FL, GA, HI, ID, IL, IN, KY, LA, MD, MA, MI, MN, MS, MT, NV, NH, ND, OH, OK, OR, RI, SC, SD, TN, TX, UT, VT, WA, WV, WI, WY</t>
  </si>
  <si>
    <t>The FY18 education appropriations bill appropriated $1.6 million for community college state general aid. From the reduced FY17 appropriation of $199 million, community colleges received a total state general aid of $201 million for FY18.</t>
  </si>
  <si>
    <t>AZ, AR, CA, CT, DE, GA, HI, ID, IL, IN, KY, LA, MD, MI, MN, MS, MO, MT, NV, NJ, NY, NC, ND, OH, OK, OR, PA, SC, TN, TX, UT, VT, VA, WA, WV, WI</t>
  </si>
  <si>
    <t>AL, AZ, AR, CO, CT, ID, IN, KY, LA, ME, MD, MA, MI, MO, NV, NH, NM, NC, OH, TX, UT, WA</t>
  </si>
  <si>
    <t>CA, CO, ID, IL, KY, LA, MD, MI, MN, NV, NC, ND, TX, VA, WA, WI, WY</t>
  </si>
  <si>
    <t>Total states adopting policies related to CTE</t>
  </si>
  <si>
    <t>Total CTE-related policies passed</t>
  </si>
  <si>
    <t>Perkins</t>
  </si>
  <si>
    <t xml:space="preserve">HB163 allows the Alabama Community College System (ACCS) to function as a corporation, much like the state's four-year universities, under the governance of the ACCS Board of Trustees. Previously, ACCS operated as a government agency. The law also specifies that community and technical college faculty can continue to participate in the teachers' retirement system of Alabama and the state health insurance program. </t>
  </si>
  <si>
    <t xml:space="preserve">SJR85 establishes a seven-member Alabama Community College Advisory Council on Outcome-Based Funding to develop an outcomes-based funding model for the state's community and technical colleges. The resolution directs the council to submit recommendations to the legislature and the governor to align the state funding model with statewide goals and student success, as well as incentivize credential attainment in high-demand fields, including STEM. </t>
  </si>
  <si>
    <t xml:space="preserve">Governor Kay Ivey launched an initiative called "Strong Start, Strong Finish" designed to support education pathways from Pre-K to the workforce. As part of the initiative, Gov Ivey created an advisory council to make recommendations for expanding computer science education. </t>
  </si>
  <si>
    <t>Alabama's FY 2018 budget appropriates $5.9 million for industry certification initiatives (an increase of nearly $3 million) administered by the ACCS Board of Trustees. Of this appropriation, $2.75 million is to be used for workforce development initiatives and $600,000 is to be used for career coaches.</t>
  </si>
  <si>
    <t xml:space="preserve">The Alaskan legislature reauthorized the Alaska Technical Vocational Education Program (TVEP), which was passed in 2000 and set to expire in 2017. The bill extends the program to 2020 and describes how funds will be distributed across various institutions serving youth and adults. TVEP is a non-competitive grant program that provides funds for supporting and expanding CTE programs that are aligned with industry needs. </t>
  </si>
  <si>
    <t xml:space="preserve">Enables the creation of workforce development center authorities—including school districts, postsecondary schools, cities and counties—which are authorized to issue bonds, buy land and set up individual workforce development centers to deliver technical training. </t>
  </si>
  <si>
    <t xml:space="preserve">Creates the Legislative Task Force on Workforce Education Excellence to research ways to improve and align CTE and workforce development programs to create a greater economic impact. The task force is directed to submit a written preliminary report of the activities, findings, and recommendations to the governor and legislature by February 1, 2018, with the final report due by September 2018. </t>
  </si>
  <si>
    <t xml:space="preserve">HB1209 directs the state Higher Education Coordinating Board to design a productivity-based funding formula for state colleges and universities. After months of development, the Arkansas Higher Education Coordinating Board approved a funding model for the state's colleges and universities in October. Under the formula, postsecondary institutions will be measured based on effectiveness (which is weighted at 80 percent and measures credential attainment, progression, transfer success and gateway course success), affordability (which is weighted at 20 percent and includes time to degree and credits at completion), and adjustments and efficiency (collectively rated at +/- 2 percent of the formula). </t>
  </si>
  <si>
    <t>Establishes the Arkansas Future Grant Program to provide last-dollar scholarships to help students pursuing an associate degree or certification in STEM fields (including computer science) or regional high-demand fields cover the costs of tuition and fees. Scholarship recipients are also required to receive monthly mentoring, complete at least 15 hours of community service every semester, and commit to working in the state for three consecutive years after graduating. The funding was re-allocated from the Workforce Improvement Grant and the Higher Education Opportunities Grant programs.</t>
  </si>
  <si>
    <t xml:space="preserve">Merges the state’s Youth Apprenticeship and apprenticeship programs by expanding eligibility for apprenticeship income tax credits to include individuals at least 16 years of age. Under the program, employers can qualify for the lesser of $2,000 or 10 percent of the apprentice's annual salary. </t>
  </si>
  <si>
    <t>California's FY 2018 budget includes:
• $150 million in one-time grants for community colleges to develop and implement guided pathways programs. 
• $25 million in Proposition 98 General Funds for a Community College Completion Grant Program aimed to help students with financial need complete a two-year degree. 
• An increased of $1.7 million for the Cal Grant C program, which provides financial aid for CTE students. The award per student was increased from $547 to $1,094.
• $15.3 million for the CTE initiative fund to support California Partnership Academies, CTSOs and CTE professional development</t>
  </si>
  <si>
    <t xml:space="preserve">Establishes a California College Promise program, to be operated by the chancellor of the California Community Colleges, that would provide, upon appropriation by the legislature, tuition-free community college to first-time students who are enrolled full time and complete a FAFSA form. </t>
  </si>
  <si>
    <t>This bill directs the California Workforce Development Board to assess and report on the need for increased education, CTE and workforce development resources to prepare the California workforce for a transition to reach reduction goals for greenhouse gas emissions.</t>
  </si>
  <si>
    <t xml:space="preserve">Requires all public schools to offer at least one computer science course by the 2020-21 school year. The law also directs the State Department of Education to create computer science course standards and, with the exception of Algebra I, Geometry and Algebra II, states that computer science courses can be used to satisfy math graduation requirements. </t>
  </si>
  <si>
    <t xml:space="preserve">Delaware's ESSA accountability plan includes dual-credit attainment, industry credential attainment and work-based learning. </t>
  </si>
  <si>
    <t xml:space="preserve">The Florida Higher Education Coordinating Council set a statewide credential attainment goal of 55 percent of adults by 2025 and launched an initiative called Rise to 55 to achieve that goal. </t>
  </si>
  <si>
    <t>Hawai'i</t>
  </si>
  <si>
    <t xml:space="preserve">Calls on the Department of Education to create a "Live, Learn, Work and Play" program to encourage Hawai'i students to gain workforce skills in high school. The program would include a workforce component in partnership with the University of Hawai'i and industry employers to enable students to graduate with industry-recognized credentials, participate in pre-apprenticeships, and participate in high school, dual credit and certificate programs informed by industry needs. Under the program, the Department of Education is also instructed to implement an academy school initiative to provide integrated academic and career course offerings. </t>
  </si>
  <si>
    <t>Governor "Butch" Otter launched a task force of students, college presidents, senators, representatives, business leaders and the State Board of Education to examine and make recommendations to improve the state's higher education system. In the fall, the task force released recommendations related to:
• Rewriting and resetting Idaho’s 60 percent postsecondary credential attainment goal.
• Outcomes-based funding.
• A K-20 guided pathways program.
• A competency-based education system.
• Partnering with industry.
• Allowing students to receive postsecondary credits for workforce training.</t>
  </si>
  <si>
    <t xml:space="preserve">Funds the STEM Action Center at $6.6 million, a 45.8 percent increase from FY 2017. This includes $2 million in one-time funds for instructor education, industry outreach and computer science projects.  </t>
  </si>
  <si>
    <t>Increases the public school funding formula for school counselors. Under the formula, school districts and charters with more than 100 students in grades eight through 12 will receive at least $14,000 (up from $10,000) and districts and charter schools with fewer than 100 students will receive at least $7,000 (up from $5,000).</t>
  </si>
  <si>
    <t xml:space="preserve">Increases appropriations for the Idaho Division of Career-Technical Education by 4 percent to $74.8 million, of which: 
• $1.9 million is to be used to expand postsecondary capacity at 11 postsecondary CTE programs across the state.
• $250,000 is to be used to expand adult basic education.
• $196,000 it to be used as one-time funds to expand online course options and align secondary and postsecondary programs. </t>
  </si>
  <si>
    <t xml:space="preserve">Illinois' 39 community colleges entered into an agreement to allow students to take and receive credit for CTE courses at other campuses that are not available at their enrolled school. </t>
  </si>
  <si>
    <t xml:space="preserve">Pursuant to requirements in 2016's Postsecondary and Workforce Readiness Act, the Illinois State Board of Education and other state agencies developed Postsecondary and Career Expectations (PaCE) guidelines to describe which career preparation activities and competencies learners should complete at each grade level. The voluntary framework is designed as a tool to support local education agencies and instructors as they prepare students for life after high school. The framework includes three types of activities: 
• Career exploration and development.
• Financial aid and literacy. 
• Postsecondary education, exploration, preparation and selection. </t>
  </si>
  <si>
    <t xml:space="preserve">This omnibus education bill updates Illinois' school funding formula. Among other provisions, the law establishes a Professional Review Panel tasked with reviewing the implementation and effect of the evidence-based funding formula and making recommendations for its improvement. Specifically, the panel is directed to study and provide recommendations for funding college and career acceleration strategies by the beginning of the 2021-22 school year. Recommendations should identify strategies to improve secondary and postsecondary outcomes, including college and career pathway systems. </t>
  </si>
  <si>
    <t>Sets the expiration date of the Indiana Works Councils for July 1, 2018, and includes $1 million for STEM program alignment to improve coordination among STEM initiatives and support cross-sector work to increase access to standards-based K-12 STEM education.</t>
  </si>
  <si>
    <t xml:space="preserve">The legislation:
• Establishes a three-tiered system for categorizing CTE programs based on industry demand and wage, to go into effect in July 2018, and directs the Department of Workforce Development (DWD) to set the wage threshold biannually. Also authorizes the DWD, subject to approval from the State Board of Education, to review and classify the types of CTE programs offered in the state and determine which programs are eligible for funding.
• Restructures funding for CTE programs to incentivize "high-value" programs, providing $680 per pupil per credit for "high-value" programs, $400 for "moderate-value" programs and $200 for "less than moderate value programs.” This change is expected to result in a 4.3 percent increase in CTE funding, from $117.3 million to $122.4 million.
• Authorizes a pilot program to train 15 schools to use the web-based Indiana Career Explorer platform for all grade eight students and requires all school corporations to integrate use of the Career Explorer (or an alternative system) into the eighth-grade curriculum beginning in 2018. 
• Requires the State Board of Education to draw on data from the DWD to develop and implement CTE plans and to make recommendations related to improving the secondary CTE system.
• Reduces per-pupil funding for apprenticeships and work-based learning by half (to $150).
• Makes changes to the eligibility and determination of the adult student grant fund and establishes a high-value, workforce-ready, credit-bearing grant to support students earning credentials in high-value industries.
• Directs the governor's office to develop a comprehensive workforce development plan to align secondary, postsecondary and adult training programs to better meet the needs of Indiana employers. </t>
  </si>
  <si>
    <t>Empowers the State Board of Education, in consultation with the Department of Workforce Development and the Commission for Higher Education, to create new graduation pathways for Indiana students. After months of study, the Indiana State Board of Education approved new graduation requirements in December 2017. Under the new rule, high school graduates will need to meet three requirements: 1) earn a high school diploma; 2) demonstrate employability skills, including project-based, service-based and work-based learning; and 3) demonstrate postsecondary-ready competencies, such as earning an industry-recognized credential, completing an internship or concentrating in a CTE program. The requirements will go into effect starting with the class of 2023.</t>
  </si>
  <si>
    <t>Indiana's ESSA accountability plan includes measures of industry certification and dual-credit attainment.</t>
  </si>
  <si>
    <t xml:space="preserve">Provides the Department of Education authority to adopt additional pathways for attainment of a high school equivalency diploma. The State Board of Education is developing rules to implement the provisions of HF 473, which are expected to go into effect spring 2018. </t>
  </si>
  <si>
    <t>Codifies the CTE weighting in the state’s school funding formula so that school districts receive an additional 50 percent of FTE funds for each full-time CTE student. This is set to expire on July 1, 2019. It also directs the State Department of Education to study the cost of CTE programs and report to the governor and legislature by early 2018. After the completion of a cost study, it is expected that the 50 percent funding will continue.</t>
  </si>
  <si>
    <t>Establishes a comprehensive outcomes-based funding model for Kentucky’s higher education system, including technical colleges, community colleges and research universities. Under the formula: 
• 35 percent of resources will be distributed based on student outcomes (including credentials awarded and STEM/ health degree production among other measures).
• 35 percent of resources will be distributed based on the number of credit hours earned.
• 30 percent of resources will be distributed to support campus operations.</t>
  </si>
  <si>
    <t xml:space="preserve">Addresses accountability, standards and industry-recognized credentials. Specifically, the legislation:
• Requires the Kentucky Department of Education to review academic standards every six years, beginning in 2017-2018, to ensure standards and assessments align with postsecondary readiness and CTE standards. 
• Removes eligibility to take the WorkKeys assessment and qualify for a Kentucky Employability Certificate. 
• Adds a Postsecondary Readiness indicator to the state's accountability system to credit students for earning a passing score on a college entrance exam, completing college credit or articulated college credit, participating in an apprenticeship or earning an industry-recognized credential. Industry credentials in high-demand industries are to be weighted based on a list produced by local workforce investment boards and released annually by the Workforce Innovation Board and the Department of Education. 
• Requires the Kentucky Department of Education to pay certification examination expenses for students who complete at least two career pathway sequence courses. 
In June, the Kentucky Board of Education adopted a five-point grading scale to measure schools under the new accountability system. The state's final ESSA state plan includes measures of industry certification attainment, dual-credit attainment, CTE completion, apprenticeships, access to CTE and more. </t>
  </si>
  <si>
    <t xml:space="preserve">Establishes a dual-credit scholarship program for high school students to cover the cost of tuition for postsecondary coursework. Also extends the Kentucky Educational Excellence Awards scholarship to include students enrolled in a Registered Apprenticeship program. </t>
  </si>
  <si>
    <t>LCTCS Campus Consolidation</t>
  </si>
  <si>
    <t xml:space="preserve">Establishes the Louisiana STEM Advisory Council with a mandate to create a comprehensive STEM plan for the state, coordinate all STEM education programs, connect resources and programs regionally, provide high-quality professional development for STEM teachers and establish competitive grants for STEM learning opportunities. The legislation also establishes a STEM Education Fund to support student-focused, project-based programs and competitions related to STEM subjects and directs the State Board of Elementary and Secondary Education to create a STEM diploma endorsement. </t>
  </si>
  <si>
    <t xml:space="preserve">Updates the responsibilities of the State Workforce Investment Board to include supporting and tracking progress toward a 60 percent postsecondary credential attainment goal by 2025. </t>
  </si>
  <si>
    <t>Amends CTE laws in Maine to allow middle school students in grades six through eight to participate in CTE classes.</t>
  </si>
  <si>
    <t xml:space="preserve">Also called the More Jobs for Marylanders Act of 2017, this legislation includes several programs and provisions to increase the preparedness of and opportunities for the Maryland workforce. The law creates a scholarship called the Workforce Development Sequence Scholarship to provide up to $2,000 for each eligible student enrolled in Workforce Development Sequence Programs, which can include job preparation or apprenticeship, licensure or certification, or job skill enhancement courses. The scholarship can be used to pay for tuition, fees and other costs. The legislation directs the governor to appropriate at least $1 million annually for this program. 
Additionally, the law requires the State Board of Education to establish annual career readiness performance goals, specifically for the percentage of high school students who complete a CTE program, earn industry-recognized credentials or complete a registered or youth apprenticeship program. To further support high school career readiness, the law directs the State Board of Education to develop a method to measure the attainment of certain credentials or participation in an approved apprenticeship as equivalent to earning a score of three or higher on an AP exam in the state accountability system. The law also does the following: 
• Creates the Partnership for Workforce Quality Program to provide tax credits for eligible businesses to hire and train new employees and calls on the governor to appropriate at least $1 million annually for the program.
• Names the Division of Workforce Development and Adult Learning to help identify and promote registered apprenticeship opportunities.
• Enables eligible employers to claim up to a $1,000 credit against their income taxes for each approved apprentice in their employ. 
• Directs the Department of Labor, Licensing and Regulation (DLLR) to find ways to combine the Youth Apprenticeship Pilot program with the Apprenticeship and Training Program.
• Directs the DLLR to work with the Maryland Longitudinal Data System (MLDS) Center to find ways to enhance data capabilities related to registered apprenticeship participation, specifically for CTE students. </t>
  </si>
  <si>
    <t>Governor Larry Hogan signed an executive order directing the Task Force on Cybersecurity and Information Technology to study opportunities to grow the information technology sector in Maryland, including strengthening career pathways and encouraging underrepresented minorities and women to enter the field. The task force's report is due to the governor by June 1, 2018. 
This is part of the governor's new computer science initiative called ACCESS (Achieving Computer Science Collaborations for Employing Students Statewide). Through the initiative, Gov. Hogan plans to allocate $5 million for teacher training and professional development, advocate for updated computer science standards through the state legislature, and encourage young girls to pursue careers in STEM through a partnership with Girls Who Code.</t>
  </si>
  <si>
    <t xml:space="preserve">The Commonwealth Commitment was expanded in 2017 to include a total of 40 different major pathways. The program was launched in 2016 to ease credit transfer and reduce the cost of tuition for students attending community colleges in Massachusetts. The aim of the program is to facilitate transfers from two-year to four-year institutions and allow students to access more postsecondary transfer pathways. In the first year, the program only covered six majors. </t>
  </si>
  <si>
    <t xml:space="preserve">The Massachusetts State Board of Education established an Early College Joint Committee to develop and coordinate the administration of an early college high school program. The committee—comprised of the Secretary of Education, the chair of the Board of Higher Education, the chair of the Board of Elementary and Secondary Education and other appointed members—developed a plan for expanding early college opportunities in Massachusetts, part of its High-quality College and Career Pathways Initiative through New Skills for Youth. High-quality college and career pathways can include both early college and innovation pathways and must align to five principles: 1) equitable access, 2) academic pathways, 3) robust student supports, 4) connections to career and 5) high-quality and deep partnerships. In the fall, the committee issued a request for proposals to identify and designate high-quality early college and innovation pathways programs and plans to announce the award recipients in early 2018. </t>
  </si>
  <si>
    <t>In response to Governor Snyder's Career Pathways Alliance recommendations (available at http://www.michigan.gov/documents/snyder/Michigan_Career_Pathways_Recommendations_576725_7.pdf), State Superintendent Brian Whiston directed the Department of Education to take action and begin implementing some of the recommendations, including: 
• Requiring Education Development Plans (EDPs) to be a part of School Improvement Plans.
• Requiring schools to integrate career exploration in their School Improvement Plans.
• Keeping professional trades instructors on the critical shortage list, allowing CTE teacher certification for up to 10 years.
• Promoting non-taxable deductions for professional trade instructors and courses.
• Allowing externships to qualify as professional development for teachers.
• Providing technical assistance to LEAs to integrate career programs and extracurricular activities into the Michigan Merit Curriculum.
• Requiring state-funded CTE programs to lead to an industry-recognized credential, as identified by the state through discussions with employers.
• Developing a book of best practices for CTE programs.
• Establishing technical assistance teams (called "Rising Tide") to support professional trades programs.</t>
  </si>
  <si>
    <t>HB4313 makes the following appropriations for FY 2018: 
• $9.6 million (up from $3.2 million in FY 2017) for career education planning districts to upgrade CTE equipment in the five highest-ranked Career Clusters® under the skilled trades initiative.
• $1.2 million for CTE counselors.
• $1 million for a three-year competitive grant to provide information technology education in K-12 schools, CTE centers and career academies, and community colleges and universities.
• $1 million to expand a web-based career preparation and readiness platform.
• $500,000 in competitive grants for districts to participate in computer science and robotics competitions.
In addition, the legislation allocates $250,000 to support the creation of a STEM network (known as MiSTEM) to create industry partnerships and provide STEM education and services to learners across the state. The budget bill also allocates $75,000 from the FY 2017 general funds to hire a transitional executive director to help launch the network. Further, the bill appropriates a total of $6.2 million (up from $3 million in FY 2017) from the school aid fund to support MiSTEM programs, and $1.4 million to the MiSTEM network regions, which will replace the existing math and science centers, to help cover startup costs and prepare the networks to begin operating by April 1, 2018.</t>
  </si>
  <si>
    <t xml:space="preserve">SB133 amends Michigan's FY 2018 budget. The bill further increases the funds allocated for CTE equipment upgrades from $9.6 million to $12.5 million. Of these funds, $500,000 are to go to Mechatronics programs and $5 million are to be used for CTE equipment and innovation competitive grants. This item was funded at $3 million the year before, representing a $9.3 million total increase. The bill also increases funds for a competitive IT grant competition from $1 million to $2.3 million. </t>
  </si>
  <si>
    <t xml:space="preserve">This omnibus education finance bill accomplishes the following: 
• Establishes an Innovative Delivery of CTE Programs initiative allowing groups of school districts to partner with postsecondary, community and other partners to provide integrated academic and CTE programs and activities, provide embedded professional development, use performance assessments to measure student technical skill gain and share resources. Eligible partnerships must be approved by the commissioner of education after meeting certain qualifications. 
• Establishes a rural CTE consortium grant, funded at $1.5 million a year in FY 2018 and FY 2019, to help expand access to CTE programs in rural areas. School districts, postsecondary institutions and others can form consortia to apply for funding to develop new courses and programs, improve access to CTE programs for rural students, increase awareness of the availability of CTE opportunities, provide capital start-up costs, provide incentive funding and training for CTE teachers, and provide transportation reimbursement grants to rural students. 
• Allows CTE teacher candidates to receive a Tier 1 teaching license if they have an associate degree, a professional certification or five years of relevant work experience in a relevant content area. For CTE teachers, the license can be renewed without limitation. 
• Directs the Professional Educator Licensing and Standards Board to adopt rules creating specialized teaching licenses, credentials and endorsements for career development, work-based learning, early college, CTE and more. </t>
  </si>
  <si>
    <t xml:space="preserve">To address revenue limitations, Governor Greitens issued a fiscal 2017 budget restriction (https://oa.mo.gov/sites/default/files/Expenditure_Restrictions_January_16_2017.pdf) in January, cutting $11.9 million from core funding for community colleges. The fiscal 2018 budget that was signed in June further reduced funding for higher education by 9 percent from fiscal year 2017. </t>
  </si>
  <si>
    <t>The State Board of Education approved requirements for a CTE graduation certificate, which was authorized in 2016 through SB620. Under the new requirements, students entering high school in 2017-18 can earn a CTE certificate if they:
• Meet all graduation requirements.
• Qualify as a CTE concentrator.
• Maintain a 3.0 grade-point average (on a 4.0 scale) in the CTE area of concentration.
• Pass an approved technical skills assessment and/or earn an approved industry-recognized credential or certificate. 
• Complete at least 50 hours of work-based learning aligned with the CTE area of concentration.
• Maintain at least a 95 percent attendance record overall for grades 9-12.
• Demonstrate soft skills/business skills.
• Achieve a score at or above the state standard on any Department of Elementary and Secondary Education-approved measure of college and career readiness.</t>
  </si>
  <si>
    <t xml:space="preserve">Provides $100,000 for a STEM career awareness program for students in grades six through eight, to be implemented by the Department of Elementary and Secondary Education. Implementation of this program is stalled due to issues with appropriations. </t>
  </si>
  <si>
    <t xml:space="preserve">The Montana Promise Act creates a grant program for students enrolled at least half-time at Montana's community colleges, two-year colleges or tribal colleges and taking courses that lead to transfer, degrees or professional credentials. Grants will be awarded at $75 per credit or for the tuition remaining after other grants and waivers are applied, whichever is larger. Priority will be given based on a list of participant characteristics, including being enrolled in programs leading to a credential in a high-demand field. </t>
  </si>
  <si>
    <t xml:space="preserve">Abolishes the P-20W Advisory Council and establishes instead a P-20W Research Data System Advisory Committee tasked with developing a statewide P-20W longitudinal data system and responsible for helping the executive director of OWINN manage this system and for developing a plan for collaborative research. </t>
  </si>
  <si>
    <t xml:space="preserve">This bill calls on the State Board of Education to define criteria for awarding CTE grants based on recommendations from the state’s Industry Sector Councils. CTE grants must be aligned with high-priority, in-demand, regionally specific CTE programs. </t>
  </si>
  <si>
    <t xml:space="preserve">The Nevada State Board of Education approved regulations for the college and career diploma established in AB7. Students can earn a college-ready endorsement, a career-ready endorsement or both. To receive a career-ready endorsement, students must complete the ACT National Career Readiness Certificate at level silver or above, score 50 or above on the ASVAB, earn a CTE skills attainment certificate, or earn an industry-recognized credential. </t>
  </si>
  <si>
    <t xml:space="preserve">Requires all school districts and charter districts to enter into agreements with institutions of higher education to offer dual-credit opportunities to high school students. Additionally, the bill allows students completing a workforce development program at a postsecondary institution to apply credits earned toward a related credential, certificate or degree from that institution. </t>
  </si>
  <si>
    <t xml:space="preserve">Codifies the Office of Workforce Innovation (OWINN), which was created by executive order in 2016; moves responsibility for managing Nevada's P-20W longitudinal data system to OWINN; and establishes OWINN as the registering agency for apprenticeships in the state. Also directs the governor to appoint a state apprenticeship director to report to the executive director of OWINN. </t>
  </si>
  <si>
    <t>Governor Chris Christie announced a partnership with the state’s 19 community colleges to expand the Department of Labor and Workforce Development’s Career Connections network by 1) launching an expanded New Jersey Career Connections initiative; 2) building career pathways at community colleges that lead to economic opportunity and industry-valued credentials, and include work-based learning; and 3) partnering with employers to ensure alignment with the needs of the business community. The Career Connections initiative is built around a career planning website used in education and workforce development programs across the state, with additional supports offered at One-Stop Career Centers and some community colleges.</t>
  </si>
  <si>
    <t>Talent Development Center Expansion</t>
  </si>
  <si>
    <t xml:space="preserve">Directs chancellors of large city school districts to study and make recommendations concerning the feasibility of expanding the number and types of CTE schools and programs
</t>
  </si>
  <si>
    <t xml:space="preserve">New York’s FY 2018 budget includes tuition-free college at two- and four-year institutions for families making up to $125,000 per year. Eligible students must be enrolled full-time, maintain a specific GPA and stay in-state for the number of years they receive the scholarship. </t>
  </si>
  <si>
    <t>The budget for the FY 2018-2019 biennium includes a number of provisions related to CTE: 
• Directs the State Board of Community Colleges, State Board of Education and Board of Governors of the University of North Carolina to report to the state legislature on the success of students participating in the Career and College Promise Program. 
• Establishes a $400,000 Preparing Future Workforce in Coding and Mobile App Development Grant program to design curricula and purchase equipment related to computer science, coding and mobile application development for middle and high school students. 
• Establishes a CTE Grade Expansion Program to extend CTE programs to grades six and seven and funds the grant program at $700,000 for FY 2018 and up to $1 million in the following years. 
• Requires local boards of education to offer at least two work-based learning opportunities related to CTE instruction. 
• Changes all references in existing law from "vocational technical education" to "career technical education." 
• Requires local boards of education to establish a business advisory council and provide assurances about ongoing consultation before programs are approved. Business advisory councils are required to have at least nine members composed of education, business and community leaders. 
• Encourages local school boards to implement career awareness programs for fifth-grade students. 
• Expands the Industry Certifications and Credentials Teacher Bonus Pilot Program and increases the maximum award to $3,500 per teacher in any given school year. 
• Directs the State Board of Community Colleges to study the cost of workforce training programs and evaluate the statewide apprenticeship program to determine strategies to integrate and jointly deliver apprenticeship and workforce training programs. The board is required to submit recommendations to the state legislature by September 1, 2018. 
• Establishes a Community College High-Cost Workforce Program Grant funded at $2.5 million for FY 2019 to provide startup funds for community colleges to launch high-cost workforce courses. 
• Establishes a 10-member Board of Postsecondary Credentials tasked with providing recommendations to better prepare learners of all socioeconomic backgrounds for the workforce. 
• Transfers the apprenticeship program from the Department of Commerce to the Community College System, provides for the hiring of an ApprenticeshipNC director and specifies provisions for appointing an Apprenticeship Council. 
• Reauthorizes the North Carolina Teaching Fellows Program, which provides forgivable loans to students studying to teach in STEM and special education.</t>
  </si>
  <si>
    <t xml:space="preserve">Allows the Superintendent of Public Instruction to waive curriculum and testing requirements to enable local school districts to adopt innovative educational strategies that improve the delivery and administration of education, expand opportunity and increase student success. Educators expect this flexibility will allow for increased use of alternative and competency-based assessments. </t>
  </si>
  <si>
    <t>HB49, Ohio’s budget for FY 2018-2019, includes a number of provisions to support CTE: 
• Excludes CTE and associated services from funding cap gains for city, local and village school districts as well as joint vocational school districts.
• Permits integrated academic content, allowing a student to receive credit for two subject areas integrated into one course, and requires the State Department of Education, in consultation with the State Department of Higher Education and the Governor's Office of Workforce Transformation, to develop guidance on granting integrated credit.
• Requires the State Department of Education to develop a framework for granting credit to students who demonstrate subject area competency through work-based learning. 
• Requires the departments of Education and Job and Family Services to establish a pre-apprenticeship program that prepares students for registered apprenticeship.
• Exempts minors in an approved STEM program or taking eligible classes through the College Credit Plus Program from state law restricting employment of minors in certain occupations.
• Requires the Superintendent of Public Instruction, in collaboration with the Governor's Office of Workforce Transformation and business representatives, to establish a committee to develop and update a list of industry-recognized credentials and licenses for high school graduation and state report card purposes, removing this responsibility from the State Board of Education.
• Directs the Superintendent of Public Instruction to establish the OhioMeansJobs-Readiness Seal to demonstrate the professional skills required for success in the 21st-century workplace. 
• Requires the Governor's Office of Workforce Transformation, the State Department of Education and the chancellor of higher education to develop a regional workforce collaboration model to provide career services to students. 
• Requires the chancellor to work with state and industry partners to develop a program to increase the number of high school students pursuing certificates or degrees in advanced technology and cybersecurity.
• Directs the Superintendent of Public Instruction, in consultation with the Governor's Executive Workforce Board, to establish standards for the operation of local business advisory councils. 
• Authorizes the creation of STEAM schools and programs of excellence.
• Requires an annual report on progress toward the state goal of increasing the percentage of adults with a postsecondary degree, certification or credential to 65 percent by 2025.
HB49 also makes changes to graduation requirements for the class of 2018 only, following concerns that almost half of students were not on track to graduate under new graduation pathways. The bill allows these students to demonstrate readiness for graduation by satisfying certain requirements, including completing a 12th-grade capstone project, completing a CTE program or earning industry-recognized credentials.</t>
  </si>
  <si>
    <t xml:space="preserve">Facing a funding shortfall, Oklahoma approved a budget for Fiscal Year 2018 with significant cuts to CTE. The Department of Career and Technology Education received $108 million from the General Revenue Fund and $3.8 million from the Oklahoma Education Lottery Trust Fund, and $500,000 revolving funds were authorized as necessary for the State Board of CTE to perform duties imposed by law. The reduction to CTE was 5.9 percent, or $6.7 million, to general revenue. </t>
  </si>
  <si>
    <t>Measure 98, the High School Graduation and College and Career Readiness Fund, is funded at $170 million, approximately 60 percent of its authorized level. The legislature also reduced funding for the Oregon Promise scholarship program from $48 million to $40 million, resulting in a new family contribution limit of $18,000.</t>
  </si>
  <si>
    <t xml:space="preserve">Governor Tom Wolf announced a new plan to expand pre-apprenticeships and apprenticeships registered through the Department of Labor and Industry's Apprenticeship and Training Office (ATO). Grants will be made available for employers, workforce development boards, economic development organizations, labor organizations, career tech schools, community colleges and community organizations to defray the cost of salaries, training materials and other services for apprenticeships. Funding for the grants will be redirected from business and organizations that received state support and failed to meet their obligations. </t>
  </si>
  <si>
    <t xml:space="preserve">Governor Tom Wolf awarded $270,000 total in mini-grants to 64 school districts to expand career learning opportunities. Examples of activities funded include placing students in apprenticeships, designing classroom instruction to prepare students for in-demand careers, and building partnerships between education and business. </t>
  </si>
  <si>
    <t xml:space="preserve">Establishes the South Dakota Board of Technical Education, defines board membership and revises certain provisions regarding CTE and postsecondary technical institutes. This legislation is in response to Constitutional Amendment R, approved by the voters in 2016, which called for a separate body for the technical college system. The Board will have authority over program development, curriculum, tuition and bonds for new facilities, while local governing boards will continue to oversee daily operations. </t>
  </si>
  <si>
    <t>Puerto Rico</t>
  </si>
  <si>
    <t>N/a</t>
  </si>
  <si>
    <t>No relevant CTE policy was adopted in 2017.</t>
  </si>
  <si>
    <t>Guam</t>
  </si>
  <si>
    <t>Nebraska</t>
  </si>
  <si>
    <t>U.S. Virgin Islands</t>
  </si>
  <si>
    <t>Palau</t>
  </si>
  <si>
    <t xml:space="preserve">The state’s FY2018 budget includes a small 0.3 percent increase for education, including an increase in salaries for K-12 teachers and technical institute instructors. </t>
  </si>
  <si>
    <t>The Tennessee Board of Regents approved a new policy establishing a one-year warranty for associate degrees, diplomas and technical certificates offered through Tennessee community colleges and TCATs. If it is determined that a graduate lacks the competencies needed to meet employer needs, he or she is eligible to receive additional training at no cost at the institution where he or she graduated.</t>
  </si>
  <si>
    <t>The Tennessee Reconnect Act, a core piece of the governor’s 2017 State of the State address, provides tuition scholarships for adult learners to access one of the state’s many community colleges and TCATs. Scholarships will be available to eligible non-degree holding adult students who are admitted into qualifying postsecondary institutions beginning in the fall of 2018. The Tennessee General Assembly Fiscal Review Committee estimates that 9,572 additional part-time students and 4,102 full-time students will be eligible to receive the grant award in Fiscal Year 2018-19, at an estimated cost of $8.5 million.</t>
  </si>
  <si>
    <t>The Texas education code is amended in HB136 to emphasize the role that career preparation plays in the state public education system. Specifically, the law adds "employment and enrollment in institutions of higher education" as a success outcome for a well-balanced curriculum and adds a new objective that the State Board of Education, TEA and the commissioner will assist school districts and charter schools in providing CTE to students.</t>
  </si>
  <si>
    <t xml:space="preserve">Effective September 2017, SB22 establishes a statewide Pathways in Technology Early College High School (P-TECH) program that will be open to all interested high school students and allow learners to graduate in six years with an associate degree or two-year postsecondary certificate and work-based learning experience. School districts and open enrollment charter schools can apply to the Commissioner of Education to establish a P-TECH school and receive grant funding, up to $5 million across grantees, provided they meet certain criteria set by the commissioner. </t>
  </si>
  <si>
    <t xml:space="preserve">Requires the establishment of goals for dual-credit coursework, including for early college high schools and CTE programs. Memoranda of understanding or articulation agreements between school districts and postsecondary institutions should incorporate specific goals aligned with these statewide goals, as well as information on course equivalency, academic supports and funding sources.  </t>
  </si>
  <si>
    <t>HB2010 enables school districts to develop a workplace safety training program, including giving educators access to information on workplace safety training and encouraging educators to include workplace safety training in the curriculum of appropriate courses for students in grades seven through 12.</t>
  </si>
  <si>
    <t>The Utah Legislature passed a FY18 budget that included a $5 million increase for CTE, bringing the total appropriation for the year to $94,297,300, a 5.6 percent increase. A report was required to the legislature on percentage of CTE career pathway concentrators and completers.</t>
  </si>
  <si>
    <t xml:space="preserve">Utah's ESSA accountability system includes dual enrollment and CTE career pathway completion. </t>
  </si>
  <si>
    <t xml:space="preserve">SB263 moves the CTE Board from the Department of Workforce Services to the Governor’s Office of Economic Development, amends board membership and requires the board to study and make recommendations about successful work-based learning programs in other states; the potential benefits and challenges of a statewide work-based learning program in high schools; and the opportunities and challenges for cooperation between government agencies and industry.
</t>
  </si>
  <si>
    <t xml:space="preserve">S135, legislation focused on economic development, includes the following provisions: 
• Creates a working group to study Vermont's workforce education system and identify strategies to improve workforce education delivery, focusing on CTE for high school students and adults. 
• Expands the Workforce Education and Training Fund for school districts to develop career education and planning programs beginning in middle school. 
• Establishes a career pathways coordinator position within the Agency of Education to serve as a point person for interagency efforts to develop curriculum and design statewide career pathways models.
• Establishes a public-private partnership called the Heating Fuel and Service Workforce Training Pilot Project to provide education and training to fill open jobs in the heating and fuel industry. The partnership will involve the State Department of Labor, CTE centers, adult technical education providers and the Vermont Fuel Dealers Association. 
• Directs the University of Vermont and the Vermont State Colleges to partner with regional CTE centers to facilitate dual-enrollment opportunities. </t>
  </si>
  <si>
    <t>In Vermont's FY18 budget, $450,000 is appropriated for the Vermont Academy of Science and Technology, an early college program, and $1.7 million for other early college programs. The budget also creates the Apprenticeship and Youth Mentoring program to provide paid and unpaid work-based learning experiences, and it requires that the Vermont state colleges report on enrollment, completion and debt.</t>
  </si>
  <si>
    <t xml:space="preserve">Vermont announced a new postsecondary attainment goal of 70 percent by 2025. The goal requires 30,000 more Vermonters to earn a postsecondary degree or certificate, which state leaders aim to achieve through the following objectives: 
• Identify and eliminate barriers to postsecondary access and success for youth and adults.
• Strengthen pathways between education and employment.
• Change the narrative to ensure public recognition of postsecondary education and college and career readiness as a shared value.
• Align state policy with the 70×2025 goal.
The program is funded with $250,000 from the Vermont Student Assistance Corporation, the Lumina Foundation and the Nellie Mae Education Foundation. </t>
  </si>
  <si>
    <t xml:space="preserve">Transfers authority for managing the Virginia Longitudinal Data System to the State Council of Higher Education for Virginia (SCHEV), enables SCHEV to collaborate with federal agencies to acquire wage data relevant to Virginia's large federal workforce, and requires the council to annually publish postsecondary and employment outcomes for each program and degree offered in Virginia colleges and universities. </t>
  </si>
  <si>
    <t xml:space="preserve">In 2017, the commonwealth adjusted its biennial FY2017-2018 budget to account for revenue shortfalls. In particular, $300,000 was cut from the state’s initiative to use general funds for students and teachers pursuing IT industry certifications. </t>
  </si>
  <si>
    <t>The Virginia State Board of Education established statewide computer science standards, as required under HB831 (2016), that identify the essential components of computer science education at each grade level. The standards are in the process of being implemented, but teachers may begin incorporating the topics into their classrooms.</t>
  </si>
  <si>
    <t xml:space="preserve">Allows community and technical colleges to provide associate workforce degrees in correctional facilities to address recidivism. </t>
  </si>
  <si>
    <t xml:space="preserve">HB2224 allows students who do not meet graduation standards on math or English language arts assessments to use a passing score on a locally developed assessment, pursuant to state board review. This includes CTE and dual-enrollment courses that meet statewide course equivalency standards for English and math. Students who have graduated or will graduate in the classes of 2014 through 2018 are eligible to appeal for a waiver to certain graduation requirements if they demonstrate completion of a college-level class in the relevant subject area, admission to a higher education institution or career preparation program, receipt of a scholarship or military enlistment. Additionally, the law requires all students to complete and regularly update a High School and Beyond Plan, to include career and skills interest survey results, high school assessments, and academic and career goals. </t>
  </si>
  <si>
    <t>CTE was established as a categorical fund in HB2242, creating a more predictable funding stream. The state invested more than $510 million in CTE in the four-year budget to:
• Reduce class sizes, creating an additional $200 million investment in CTE staffing over the next four years.
• Fully fund teacher compensation to compensate for the part of CTE teacher salaries that districts currently pay locally, thereby freeing up funds. Further, the budget appropriates $5.3 billion for state salaries in the next four years, including ongoing cost-of-living adjustments and three professional development days a year.
• Increase supply money to $1,472.01 per student, which generates about $8.25 million additional dollars for the next school year.
• Raise the administrative multiplier for CTE from 1.45 percent in 2016-2017 to 12.29 percent in 2017-2018 and the Skills Center multiplier from 17.31 percent to 17.61 percent, providing additional funding for CTE Directors in all districts.
• Decrease the amount districts can charge on CTE enhancement funding for overhead to 5 percent, down from 15 percent, which is projected to drive over $46 million additional dollars directly to CTE programs next year.
• Increase CTE grant funding for equipment purchases through the Office of Superintendent of Public Instruction (OSPI).
• Direct and protect CTE funding through a new allowable expenditures list, which disallows compensation unrelated to CTE programs, delivering more funding to CTE classrooms.
• Fund OSPI to continue developing course equivalencies for CTE programs.
• Allow districts to pay up to 10 percent additional salary for STEM teachers.
• Fund Core Plus, First Robotics, Jobs for America’s Graduates–Washington and other CTE programs.</t>
  </si>
  <si>
    <t>Governor Jay Inslee announced Career Connect Washington. This new initiative includes a task force comprised of public and private partners dedicated to accelerating career connected learning. It continues the work of the National Governors Association Policy Academy on Work-Based Learning. In addition, through public/private partnerships, the Career Connect Washington fund will create a statewide career-readiness system with a focus on youth from low-income backgrounds, those living in rural communities and youth of color. The Governor’s Office has identified $7 million in federal Workforce Innovation and Opportunity Act (WIOA) Governor’s Statewide Activities funding to support the first round of grant funding.</t>
  </si>
  <si>
    <t>West Virginia approved college- and career-ready standards for technology and computer science to promote proficiency in foundational technology skills, digital literacy and citizenship, and computer science. These standards replace the 21st-Century Learning Skills and Technology Tools and Content Standards and Objectives for West Virginia Schools. The standards adopt a new numbering system to make it easier for students and families to navigate their options at each grade level, and add one new middle school and three new high school courses. Counties can use CTE courses or create their own computer science courses, and students will be able to substitute one required math and one required science course with computer science.</t>
  </si>
  <si>
    <t xml:space="preserve">Wisconsin's FY 2018-2019 biennial budget contains the following items relevant to CTE: 
• Amends the state accountability system for high schools (which is separate from Wisconsin's federal accountability system) to include measures of students participating in youth apprenticeships, AP courses offered and credits earned, and the number of students earning industry-recognized credentials. 
• Increases appropriations for workforce training grants to $26 million in FY 2018 and $13.6 million in FY 2019 (an increase of $18.9 million from the previous biennium). 
• Modifies the permitted uses of workforce training grants to include grants for collaborative projects to improve high school credential attainment, training for dual-enrollment teachers, efforts to increase student internships, a nursing training program for middle and high school students, building modifications for CTE programs and a program to develop mobile laboratories for training incarcerated individuals re-entering the workforce.
• Establishes a Technical Education Equipment Grant program, under the funds appropriated for workforce training grants, funded at $500,000, to help school districts purchase new equipment related to advanced manufacturing. Grant awards can be up to $50,000 per school district and must be matched 2:1. 
• Increases funding for CTE incentive grants, under the workforce training grant fund, to school districts from $3 million to $3.5 million each fiscal year to help students earn industry-recognized credentials. 
• Requires institutions of higher education to recognize military service members' postsecondary credits as recommended by the American Council on Education.
</t>
  </si>
  <si>
    <t xml:space="preserve">Establishes the Private Postsecondary Education Grant Program, which had expired after the authorizing legislation lapsed in 2016. Under the program, state residents can receive tuition grants to pursue two-year or four-year degrees in STEM-related fields at accredited private institutions. </t>
  </si>
  <si>
    <t xml:space="preserve">In April, the Board of Education voted to approve a college and career readiness indicator, weighted at 20 percent of the high school score, in the state's accountability system. The indicator credits schools for students who:
• Complete a CTE sequence and pass a corresponding technical skills assessment.
• Pass a college level pathway course for which college credit can be earned with an A, B, or C.
• Complete a CTE course with an A, B or C.
• Meet benchmarks for ASVAB or ACT WorkKeys.
• Earn an industry-recognized credential, certificate or license.
• Complete at least 120 hours of WBL. 
• Meet all 16 Arizona Board of Regents program of study requirements. 
Schools can also receive bonus points if the school increases the percent of students or has 85 percent of graduating students who enroll in postsecondary and/or military service. </t>
  </si>
  <si>
    <t>Changes state statute to allow Joint Technical Education Districts (JTED) to enroll adult students over the age of 22 in order to meet federal requirements for student financial assistance under the Higher Education Act. Previously, adult students could only enroll in JTED programs for the purposes of skill building or retraining. Under the new legislation, adult and secondary students are also permitted to receive college-level credit for JTED courses administered at the postsecondary level as long as they are authorized through an articulation agreement with an accredited college.</t>
  </si>
  <si>
    <t xml:space="preserve">AR approved a new ESSA accountability system that includes ACT WorkKeys, concurrent enrollment, and, to be implemented at a future date, access to high-quality career preparation, work-based learning completion, and industry credential attainment. </t>
  </si>
  <si>
    <t>Amends the Arkansas Medical Marijuana Amendment of 2016, an initiative that was passed by voters last year to regulate the sale of medical marijuana. The amendment originally established a Vocational and Technical Training Special Revenue Fund, which would be credited 50 percent of funds generated through the taxation of medical marijuana sales. Instead, this amended eliminates the fund and directs any revenues collected through the taxation of medical marijuana to a Arkansas Medical Marijuana Implementation and Operations Fund to be managed by the Chief Fiscal Officer of the State. However, the Act does direct the General Assembly to consider, during its 2019 General Session, redirecting such funds to workforce education.</t>
  </si>
  <si>
    <t xml:space="preserve">Permits the Department of Education to share confidential information with the California Workforce Development Board for the purposes of analyzing labor market outcomes and creating a workforce metrics dashboard. Also clarifies that the Board can determine its own approach to measuring labor market impacts. </t>
  </si>
  <si>
    <t>The bill: 
• Establishes a P-20 Workforce Information Network in Connecticut to be used for linking education and workforce data and enabling audits and evaluations of state and federal education programs. 
• Directs the Employment and Training Commission, the Connecticut state colleges and universities, the Department of Education and regional workforce development boards to develop a new plan for expanding early college high school opportunities, specifically through the Connecticut Early College Opportunity Program model. The report is due to the General Assembly by September 1, 2018. 
• Directs the president of the state colleges and universities to hire an outreach coordinator to help liaise between employers and education institutions to coordinate the establishment of early college opportunity programs.
• Establishes a Workforce Training Authority to develop industry advisory councils to provide guidance on labor market trends and make connections with the business community.
• Establishes a Workforce Training Authority Fund to support training assistance.</t>
  </si>
  <si>
    <t xml:space="preserve">Revises Connecticut's graduation requirements such that students graduating in 2023 will be required to complete 25 credits (up from 20), including nine credits in humanities, nine credits of STEM and a one-credit mastery-based diploma assessment. The bill also allows school boards to grant credit for students demonstrating content mastery through such pathways as CTE, virtual learning, work-based learning, service learning, dual enrollment and early college, and more. </t>
  </si>
  <si>
    <t xml:space="preserve">Adopts a number of conforming elements to help transition Connecticut's Technical Education System out of the State Department of Education. Specifically, the law requires the Department of Education to review system admissions policies, not just for enrollment of students with disabilities, as was required in existing law. The law also requires CTE standards to be aligned with professional certification requirements, directs the CTE system superintendent to part with regional community-technical colleges and local or regional boards of education, and directs the State Board of Education to hire a consultant to help develop a transition plan. The law is to go into effect July 1, 2019. </t>
  </si>
  <si>
    <t xml:space="preserve">Governor Nathan Deal announced an expansion of the HOPE career grant to cover tuition for students pursuing diplomas or certificates in five additional high-demand industries: construction, aviation, electrical line work, logistics and automotive technology. This move, which took effect in January, increases the total number of programs covered under the grant to 17. While Georgia's HOPE scholarship provides tuition support for students pursuing associate and bachelor's degrees, the HOPE career grant covers diplomas or certificates. </t>
  </si>
  <si>
    <t xml:space="preserve">Under the General Appropriations Act of 2017, the Hawai'i state legislature appropriated $1 million each year for FY2017-18 and FY2018-19 to expand early college programs through Hawai'i's Early College High School Initiative. </t>
  </si>
  <si>
    <t xml:space="preserve">Idaho's ESSA accountability plan includes measures of industry credential attainment, dual enrollment and  participation in state-recognized apprenticeships. </t>
  </si>
  <si>
    <t xml:space="preserve">Amends Illinois' CTE teacher certification policy such that individuals are eligible to receive a CTE endorsement if they have completed a minimum of 60 credit hours from an accredited trade and technical institution (instead of just an institution of higher education). Also allows CTE teachers to renew their endorsement more than one time. </t>
  </si>
  <si>
    <t xml:space="preserve">Creates a task force to study and provide recommendations to address the agriculture teacher shortage. The task force is required to provide recommendations to the General Assembly by January 1, 2019 on strategies to recruit and retain agriculture education teachers and leverage federal programs to assist in recruiting and retaining teachers. </t>
  </si>
  <si>
    <t xml:space="preserve">Illinois' ESSA accountability plan includes measures of work-based learning, industry credential attainment, employment, community service and dual credit completion, as part of a college and career readiness indicator for high schools. </t>
  </si>
  <si>
    <t xml:space="preserve">Creates a computer science professional development fund to provide computer science training. The bill also directs the Department of Education to establish a computer science education workgroup to put together a plan to expand computer science education, including examining graduation requirements, integrating computer science into CTE pathways, different delivery settings, and developing K-12 computer science pathways. The work group issued recommendations in early November (available at https://www.educateiowa.gov/sites/files/ed/documents/2017-11-01ComputerScienceEducationWorkGroupFinalReport.pdf). </t>
  </si>
  <si>
    <t xml:space="preserve">Establishes the Louisiana Educational Workforce Training Fund to help Louisiana citizens to earn credentials at public community and technical colleges in order to prepare for high-wage, high-skill, high-demand career fields. Funds are to be distributed, contingent on appropriations by the legislature, to the Board of Supervisors of Community and Technical Colleges to support workforce training programs. </t>
  </si>
  <si>
    <t xml:space="preserve">The Louisiana State Board of Education approved an expansion of the Jump Start initiative to include eight new STEM pathways courses connecting to four-year postsecondary institutions. The hybrid curriculum can be applied to both of Louisiana's diploma tracks. Courses will be piloted on a small scale, serving 200 students in the Baton Rouge area before being scaled statewide. </t>
  </si>
  <si>
    <t xml:space="preserve">Establishes an adult high school pilot program operated by the State Department of Education in consultation with the Department of Labor, Licensing and Regulation to help adult learners earn a high school equivalency diploma, postsecondary credits and/or an industry-recognized credential. The Departments are authorized to approve six pilot programs and are directed to submit an evaluation to the governor and general assembly by December 1, 2020, detailing the academic and career gains of learners involved in the program. At that point the legislature will determine whether or not to scale the program based on the effectiveness of the pilots. </t>
  </si>
  <si>
    <t xml:space="preserve">Establishes the Maryland Education Development Collaborative with the purpose of studying and making recommendations to promote 21st century learning in the state. Specifically, the collaborative will help identify evidence-based practices and provide technical assistance to help agencies and local systems provide a "world-class education" to Maryland students, including "a highly effective, intellectually rigorous system of CTE." The bill draws on the National Conference of State Legislators' definition of a world-class education (https://careertech.org/resource/no-time-to-lose), which includes access to effective, intellectually rigorous CTE systems as one of four pillars. </t>
  </si>
  <si>
    <t xml:space="preserve">Establishes a Pathways in Technology Early College High (P-TECH) program in the state of Maryland. P-TECH schools will be public secondary schools that enter into partnerships with college and industry partners and provide pathway sequences that enable students to complete a high school diploma and an associate degree or commission-approved certificate within six years. P-TECH schools must also reserve half of their seats for low-income students and provide mentorship and internship opportunities for students. The law also creates a P-TECH planning grant to help local districts plan and develop P-TECH schools, although the legislature specifies that no new P-TECH schools are to be established after 2019 until there is enough evidence to support expanding the program. </t>
  </si>
  <si>
    <t>Massachusetts's finalized budget include $4.25 million for STEM Starter Academy programs at Massachusetts community colleges.</t>
  </si>
  <si>
    <t xml:space="preserve">Gov Snyder launched the second phase of Michigan's "Going PRO" campaign to address outdated perceptions of CTE and encourage more students to seek opportunities to learn skills in high-wage, high-demand career fields. As part of the campaign, Gov Snyder unveiled a new website called www.Going-PRO.com as well as a career exploration tool called Pathfinder. </t>
  </si>
  <si>
    <t>Establishes the Workforce Development Scholarship pilot program to provide scholarships of $2,500 a year to support students studying advanced manufacturing, agriculture, health care services or information technology at a two-year college in the Minnesota State Colleges and Universities System. The program is funded at $1 million in FY 2019 and is scheduled to go into effect July 1, 2018. Preference will be given to students with financial need. The legislation also allocates $100,000 to develop materials to increase awareness of career opportunities in senior care and provides a total of $680,000 between FY 2018 and FY 2019 to develop new concurrent enrollment courses that satisfy elective standards for CTE and expand existing programs at postsecondary institutions.</t>
  </si>
  <si>
    <t xml:space="preserve">SF1456 is an omnibus economic development appropriations bill for the 2018-19 biennium that includes several provisions in support of CTE: 
• Establishes a Youth Skills Training Program to provide work-based skills for students age 16 and above. Programs are to be approved and overseen by the Commissioner of Labor and Industry with the goal of graduating at least 80 percent of student participants with a high school degree and at helping at least 60 percent of student participants earn an industry-recognized credential. The bill appropriates $200,000 in FY18 for the commissioner of labor and industry to develop youth skills competencies and $500,000 in FY19 to award up to five grants to eligible providers.
• Amends language regarding Minnesota's dual-training program to require the commissioner of labor and industry to convene industry experts to develop competency standards for dual-training programs. </t>
  </si>
  <si>
    <t xml:space="preserve">In September the Mississippi State Board of Education approved new graduation requirements for students entering ninth grade in the 2018-19 school year. Diploma revisions were adopted to ensure all students could access and obtain a rigorous, standard diploma. Under the changes, students will now be required to complete one unit of college and career readiness and select an endorsement prior to the ninth grade. 
Under the new policy, students can earn one of three endorsements on their diploma: a CTE endorsement, an academic endorsement and a distinguished endorsement. To earn a CTE endorsement, students must complete four units of CTE electives, earn an overall GPA of 2.5, earn a silver level on the ACT WorkKeys assessment, earn two additional Carnegie units (for a total of 26) and complete one CTE dual credit course, an industry-based work experience or a state-approved national credential. </t>
  </si>
  <si>
    <t xml:space="preserve">AB7 makes conforming elements to Nevada's education law to align with the Every Student Succeeds Act. Additionally, AB7 directs the State Board of Education to specify requirements for students to earn a career-ready endorsement on their high school diploma that indicates students are qualified for and prepared to enter postsecondary education or training in high-demand occupations. Pending funding, the State Board of Education is also permitted to award incentive grants for students earning career ready endorsements, reimburse schools for costs incurred in helping students receive certification, and run a public awareness campaign about the diploma options. </t>
  </si>
  <si>
    <t xml:space="preserve">Authorizes school districts or charter schools to provide work-based learning opportunities upon approval by the State Board of Education and allows students to earn one or more credits for a work-based learning experience. The law also allows school districts and charter schools to apply for funding to develop new work-based learning programs and sets requirements for such programs. </t>
  </si>
  <si>
    <t>New Jersey has set a goal to increase the number of state residents with postsecondary credentials and degrees to 65 percent of the population by 2025. The goal was issued jointly between the Office of the Secretary of Higher Education, the Department of Education and the Department of Labor and Workforce Development. To meet this goal, the state launched the 65 by ’25: Many Paths, One Future campaign, which will reimburse employers 50 percent of wages paid to new interns, up to $1,500 per student. Awards are available for up to 1,000 students interning in one of New Jersey's key industries: advanced manufacturing; construction and utilities; financial services; health care; life sciences; retail, hospitality and tourism; technology; or transportation, logistics and distribution. The Lumina Foundation awarded New Jersey a $100,000 grant to help with the initiative. (More info available at http://careerconnections.nj.gov/careerconnections/hire/hiring/paths/many_paths_one_future.shtml )</t>
  </si>
  <si>
    <t xml:space="preserve">North Carolina's ESSA accountability system includes CTE students  earning a silver or higher designation on the ACT WorkKeys exam. </t>
  </si>
  <si>
    <t xml:space="preserve">The career-ready element of North Dakota's ESSA choice-ready accountability framework includes students earning a 2.8 GPA or higher in a CTE pathway, demonstrating career ready practices, completing work-based learning, earning dual credit and earning a passing score on a technical skills assessment or industry credential. </t>
  </si>
  <si>
    <t xml:space="preserve">HB1693 updates Oklahoma legislation to comply with ESSA. It also changes school grading from A-F measures of proficiency and growth to a multiple-measures approach that includes statewide assessments, graduation rates and, for high schools, a measure of postsecondary opportunity that includes dual and concurrent enrollment, work-based learning and industry certifications. Oklahoma later approved an ESSA accountability system that includes dual enrollment, work-based learning and programs leading to industry certification. </t>
  </si>
  <si>
    <t>SB1231 directs the Board of Regents, with input from the Higher Education Commission, to develop curricula for work-based learning within the state’s Labor Education Alignment Program (LEAP). LEAP was passed into law in 2013 to facilitate technical education for students in Tennessee Colleges of Applied Technology (TCATs) and community colleges, developed with input from area employers. This bill also extends immunity from liability to employers providing work-based learning to TCAT and community college students, absent willful or gross negligence.</t>
  </si>
  <si>
    <t>HB22 modifies Texas's A-F accountability system that was adopted in 2015 around three domains: student achievement, school progress and closing the gaps. For high schools, the student achievement indicator will be based on a number of metrics, including dual credit attainment, military enlistment, industry certification attainment and admittance into a postsecondary industry certification program. These indicators were also included in the state's ESSA state plan. Additionally, HB22 calls on the commissioner to study the feasibility of adopting an indicator for extracurricular and cocurricular student activities. Although the A-F accountability system was originally scheduled to go into effect in 2018, under this legislation school districts will get their first grades in August 2018 but individual schools will not be graded until 2019.</t>
  </si>
  <si>
    <t>Amends state graduation requirements to let local districts offer graduation credit for approved cybersecurity courses, and exempts districts from getting state approval for cybersecurity courses that are developed in partnership with postsecondary institutions that offer undergraduate degree programs in cybersecurity. Additionally, the law directs the State Board of Education to adopt five technology applications courses that can be included in a cybersecurity pathway on a STEM graduation endorsement, and provides a subsidy for instructors to gain certification in cybersecurity. The law also updates the Texas high school accountability system to include a state-approved practicum or internship in the high school performance evaluation framework.</t>
  </si>
  <si>
    <t xml:space="preserve">Vermont's ESSA accountability system includes industry certifications as part of  a college- and career-ready measure and college/trade school enrollment as part of an outcome measure. </t>
  </si>
  <si>
    <t>Department Action</t>
  </si>
  <si>
    <t>STATES ADOPTING NEW POLICY, BY POLICY CATEGORY</t>
  </si>
  <si>
    <t>NEW POLICIES, BY SYSTEM</t>
  </si>
  <si>
    <t>CTE Standards/Accreditation</t>
  </si>
  <si>
    <t>Scheduling/ Extended Learning</t>
  </si>
  <si>
    <t>CTSO/ Leadership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</si>
</sst>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
    <numFmt numFmtId="165" formatCode="m/d/yy"/>
    <numFmt numFmtId="166" formatCode="mmmm\ yyyy"/>
  </numFmts>
  <fonts count="15" x14ac:knownFonts="1">
    <font>
      <sz val="10"/>
      <color rgb="FF000000"/>
      <name val="Arial"/>
    </font>
    <font>
      <sz val="10"/>
      <name val="Arial"/>
    </font>
    <font>
      <sz val="9"/>
      <name val="Arial"/>
    </font>
    <font>
      <u/>
      <sz val="9"/>
      <color rgb="FF0000FF"/>
      <name val="Arial"/>
    </font>
    <font>
      <sz val="9"/>
      <color rgb="FF0000FF"/>
      <name val="Arial"/>
    </font>
    <font>
      <u/>
      <sz val="9"/>
      <color rgb="FF0000FF"/>
      <name val="Arial"/>
    </font>
    <font>
      <u/>
      <sz val="9"/>
      <color rgb="FF0000FF"/>
      <name val="Arial"/>
    </font>
    <font>
      <u/>
      <sz val="9"/>
      <color rgb="FF000000"/>
      <name val="Arial"/>
    </font>
    <font>
      <u/>
      <sz val="9"/>
      <color rgb="FF0000FF"/>
      <name val="Arial"/>
    </font>
    <font>
      <sz val="9"/>
      <color rgb="FF000000"/>
      <name val="Arial"/>
    </font>
    <font>
      <sz val="9"/>
      <name val="Arial"/>
      <family val="2"/>
    </font>
    <font>
      <b/>
      <sz val="10"/>
      <color theme="0"/>
      <name val="Arial"/>
      <family val="2"/>
    </font>
    <font>
      <sz val="9"/>
      <color theme="0"/>
      <name val="Arial"/>
      <family val="2"/>
    </font>
    <font>
      <sz val="9"/>
      <color rgb="FF000000"/>
      <name val="Arial"/>
      <family val="2"/>
    </font>
    <font>
      <b/>
      <sz val="9"/>
      <color theme="0"/>
      <name val="Arial"/>
      <family val="2"/>
    </font>
  </fonts>
  <fills count="4">
    <fill>
      <patternFill patternType="none"/>
    </fill>
    <fill>
      <patternFill patternType="gray125"/>
    </fill>
    <fill>
      <patternFill patternType="solid">
        <fgColor rgb="FF31849B"/>
        <bgColor indexed="64"/>
      </patternFill>
    </fill>
    <fill>
      <patternFill patternType="solid">
        <fgColor theme="0" tint="-4.9989318521683403E-2"/>
        <bgColor indexed="64"/>
      </patternFill>
    </fill>
  </fills>
  <borders count="14">
    <border>
      <left/>
      <right/>
      <top/>
      <bottom/>
      <diagonal/>
    </border>
    <border>
      <left style="thin">
        <color theme="0" tint="-4.9989318521683403E-2"/>
      </left>
      <right style="thin">
        <color theme="0" tint="-4.9989318521683403E-2"/>
      </right>
      <top/>
      <bottom style="thin">
        <color theme="0" tint="-4.9989318521683403E-2"/>
      </bottom>
      <diagonal/>
    </border>
    <border>
      <left/>
      <right style="thick">
        <color theme="1"/>
      </right>
      <top/>
      <bottom/>
      <diagonal/>
    </border>
    <border>
      <left/>
      <right style="thin">
        <color theme="0" tint="-4.9989318521683403E-2"/>
      </right>
      <top/>
      <bottom style="thin">
        <color theme="0" tint="-4.9989318521683403E-2"/>
      </bottom>
      <diagonal/>
    </border>
    <border>
      <left style="thin">
        <color theme="0" tint="-4.9989318521683403E-2"/>
      </left>
      <right style="thick">
        <color theme="1"/>
      </right>
      <top/>
      <bottom style="thin">
        <color theme="0" tint="-4.9989318521683403E-2"/>
      </bottom>
      <diagonal/>
    </border>
    <border>
      <left/>
      <right style="thick">
        <color theme="1"/>
      </right>
      <top style="thin">
        <color auto="1"/>
      </top>
      <bottom/>
      <diagonal/>
    </border>
    <border>
      <left style="thick">
        <color rgb="FF31849B"/>
      </left>
      <right style="medium">
        <color theme="0"/>
      </right>
      <top style="thick">
        <color rgb="FF31849B"/>
      </top>
      <bottom style="medium">
        <color theme="0"/>
      </bottom>
      <diagonal/>
    </border>
    <border>
      <left style="medium">
        <color theme="0"/>
      </left>
      <right style="thick">
        <color rgb="FF31849B"/>
      </right>
      <top style="thick">
        <color rgb="FF31849B"/>
      </top>
      <bottom style="medium">
        <color theme="0"/>
      </bottom>
      <diagonal/>
    </border>
    <border>
      <left style="thick">
        <color rgb="FF31849B"/>
      </left>
      <right style="medium">
        <color theme="0"/>
      </right>
      <top style="medium">
        <color theme="0"/>
      </top>
      <bottom style="thick">
        <color rgb="FF31849B"/>
      </bottom>
      <diagonal/>
    </border>
    <border>
      <left style="medium">
        <color theme="0"/>
      </left>
      <right style="thick">
        <color rgb="FF31849B"/>
      </right>
      <top style="medium">
        <color theme="0"/>
      </top>
      <bottom style="thick">
        <color rgb="FF31849B"/>
      </bottom>
      <diagonal/>
    </border>
    <border>
      <left style="thick">
        <color rgb="FF31849B"/>
      </left>
      <right/>
      <top style="thick">
        <color rgb="FF31849B"/>
      </top>
      <bottom/>
      <diagonal/>
    </border>
    <border>
      <left/>
      <right/>
      <top style="thick">
        <color rgb="FF31849B"/>
      </top>
      <bottom/>
      <diagonal/>
    </border>
    <border>
      <left/>
      <right style="thick">
        <color rgb="FF31849B"/>
      </right>
      <top style="thick">
        <color rgb="FF31849B"/>
      </top>
      <bottom/>
      <diagonal/>
    </border>
    <border>
      <left/>
      <right/>
      <top style="thick">
        <color theme="0"/>
      </top>
      <bottom/>
      <diagonal/>
    </border>
  </borders>
  <cellStyleXfs count="1">
    <xf numFmtId="0" fontId="0" fillId="0" borderId="0"/>
  </cellStyleXfs>
  <cellXfs count="63">
    <xf numFmtId="0" fontId="0" fillId="0" borderId="0" xfId="0" applyFont="1" applyAlignment="1"/>
    <xf numFmtId="0" fontId="2" fillId="0" borderId="0" xfId="0" applyFont="1" applyFill="1" applyAlignment="1">
      <alignment vertical="top" wrapText="1"/>
    </xf>
    <xf numFmtId="0" fontId="0" fillId="0" borderId="0" xfId="0" applyFont="1" applyFill="1" applyAlignment="1"/>
    <xf numFmtId="0" fontId="2" fillId="0" borderId="0" xfId="0" applyFont="1" applyFill="1" applyAlignment="1">
      <alignment wrapText="1"/>
    </xf>
    <xf numFmtId="0" fontId="4" fillId="0" borderId="0" xfId="0" applyFont="1" applyFill="1" applyAlignment="1">
      <alignment vertical="top"/>
    </xf>
    <xf numFmtId="0" fontId="2" fillId="0" borderId="0" xfId="0" applyFont="1" applyFill="1" applyAlignment="1">
      <alignment vertical="top"/>
    </xf>
    <xf numFmtId="0" fontId="2" fillId="0" borderId="0" xfId="0" applyFont="1" applyFill="1"/>
    <xf numFmtId="0" fontId="4" fillId="0" borderId="0" xfId="0" applyFont="1" applyFill="1" applyAlignment="1">
      <alignment vertical="top" wrapText="1"/>
    </xf>
    <xf numFmtId="0" fontId="2" fillId="0" borderId="2" xfId="0" applyFont="1" applyFill="1" applyBorder="1" applyAlignment="1">
      <alignment vertical="top" wrapText="1"/>
    </xf>
    <xf numFmtId="0" fontId="5" fillId="0" borderId="0" xfId="0" applyFont="1" applyFill="1" applyAlignment="1">
      <alignment vertical="top"/>
    </xf>
    <xf numFmtId="0" fontId="2" fillId="0" borderId="0" xfId="0" applyFont="1" applyFill="1" applyAlignment="1"/>
    <xf numFmtId="0" fontId="6" fillId="0" borderId="0" xfId="0" applyFont="1" applyFill="1" applyAlignment="1">
      <alignment vertical="top" wrapText="1"/>
    </xf>
    <xf numFmtId="0" fontId="12" fillId="0" borderId="0" xfId="0" applyFont="1" applyFill="1" applyAlignment="1">
      <alignment wrapText="1"/>
    </xf>
    <xf numFmtId="0" fontId="10" fillId="0" borderId="0" xfId="0" applyFont="1" applyFill="1" applyAlignment="1">
      <alignment wrapText="1"/>
    </xf>
    <xf numFmtId="0" fontId="14" fillId="0" borderId="0" xfId="0" applyFont="1" applyFill="1" applyAlignment="1">
      <alignment wrapText="1"/>
    </xf>
    <xf numFmtId="0" fontId="11" fillId="0" borderId="0" xfId="0" applyFont="1" applyFill="1" applyAlignment="1"/>
    <xf numFmtId="0" fontId="13" fillId="0" borderId="0" xfId="0" applyFont="1" applyAlignment="1">
      <alignment wrapText="1"/>
    </xf>
    <xf numFmtId="0" fontId="13" fillId="0" borderId="0" xfId="0" applyFont="1" applyAlignment="1"/>
    <xf numFmtId="0" fontId="13" fillId="0" borderId="0" xfId="0" applyFont="1" applyFill="1" applyAlignment="1">
      <alignment wrapText="1"/>
    </xf>
    <xf numFmtId="0" fontId="10" fillId="0" borderId="0" xfId="0" applyFont="1" applyFill="1" applyAlignment="1">
      <alignment vertical="top" wrapText="1"/>
    </xf>
    <xf numFmtId="0" fontId="14" fillId="0" borderId="0" xfId="0" applyFont="1" applyFill="1" applyBorder="1" applyAlignment="1">
      <alignment wrapText="1"/>
    </xf>
    <xf numFmtId="0" fontId="3" fillId="0" borderId="0" xfId="0" applyFont="1" applyFill="1" applyAlignment="1">
      <alignment vertical="top" wrapText="1"/>
    </xf>
    <xf numFmtId="0" fontId="0" fillId="0" borderId="0" xfId="0" applyFont="1" applyFill="1" applyAlignment="1">
      <alignment vertical="top" wrapText="1"/>
    </xf>
    <xf numFmtId="0" fontId="8" fillId="0" borderId="0" xfId="0" applyFont="1" applyFill="1" applyAlignment="1">
      <alignment vertical="top" wrapText="1"/>
    </xf>
    <xf numFmtId="0" fontId="14" fillId="0" borderId="0" xfId="0" applyFont="1" applyFill="1" applyBorder="1" applyAlignment="1">
      <alignment vertical="top" wrapText="1"/>
    </xf>
    <xf numFmtId="0" fontId="0" fillId="0" borderId="0" xfId="0" applyFont="1" applyFill="1" applyAlignment="1">
      <alignment vertical="top"/>
    </xf>
    <xf numFmtId="0" fontId="2" fillId="0" borderId="0" xfId="0" applyFont="1" applyFill="1" applyAlignment="1">
      <alignment horizontal="left" vertical="top" wrapText="1"/>
    </xf>
    <xf numFmtId="164" fontId="2"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10" fillId="0" borderId="0" xfId="0" applyFont="1" applyFill="1" applyAlignment="1">
      <alignment horizontal="left" vertical="top" wrapText="1"/>
    </xf>
    <xf numFmtId="0" fontId="4" fillId="0" borderId="0" xfId="0" applyFont="1" applyFill="1" applyAlignment="1">
      <alignment horizontal="left" vertical="top" wrapText="1"/>
    </xf>
    <xf numFmtId="165" fontId="2"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164" fontId="10" fillId="0" borderId="0" xfId="0" applyNumberFormat="1" applyFont="1" applyFill="1" applyAlignment="1">
      <alignment horizontal="left" vertical="top" wrapText="1"/>
    </xf>
    <xf numFmtId="14" fontId="2" fillId="0" borderId="0" xfId="0" applyNumberFormat="1"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164" fontId="1" fillId="0" borderId="0" xfId="0" applyNumberFormat="1" applyFont="1" applyFill="1" applyAlignment="1">
      <alignment horizontal="left" vertical="top"/>
    </xf>
    <xf numFmtId="166" fontId="2" fillId="0" borderId="0" xfId="0" applyNumberFormat="1" applyFont="1" applyFill="1" applyAlignment="1">
      <alignment horizontal="left" vertical="top" wrapText="1"/>
    </xf>
    <xf numFmtId="0" fontId="14" fillId="0" borderId="0" xfId="0" applyFont="1" applyFill="1" applyBorder="1" applyAlignment="1">
      <alignment horizontal="left" vertical="top" wrapText="1"/>
    </xf>
    <xf numFmtId="0" fontId="0" fillId="0" borderId="0" xfId="0" applyFont="1" applyFill="1" applyAlignment="1">
      <alignment horizontal="left" vertical="top"/>
    </xf>
    <xf numFmtId="0" fontId="0" fillId="0" borderId="2" xfId="0" applyFont="1" applyFill="1" applyBorder="1" applyAlignment="1">
      <alignment vertical="top" wrapText="1"/>
    </xf>
    <xf numFmtId="0" fontId="14" fillId="0" borderId="1" xfId="0" applyFont="1" applyFill="1" applyBorder="1" applyAlignment="1">
      <alignment wrapText="1"/>
    </xf>
    <xf numFmtId="0" fontId="13" fillId="0" borderId="0" xfId="0" applyFont="1" applyFill="1" applyAlignment="1">
      <alignment horizontal="left" vertical="top"/>
    </xf>
    <xf numFmtId="0" fontId="12" fillId="0" borderId="0" xfId="0" applyFont="1" applyFill="1" applyBorder="1" applyAlignment="1">
      <alignment horizontal="left" vertical="top" wrapText="1"/>
    </xf>
    <xf numFmtId="0" fontId="14" fillId="0" borderId="5" xfId="0" applyFont="1" applyFill="1" applyBorder="1" applyAlignment="1">
      <alignment vertical="top" wrapText="1"/>
    </xf>
    <xf numFmtId="0" fontId="12" fillId="2" borderId="6" xfId="0" applyFont="1" applyFill="1" applyBorder="1" applyAlignment="1">
      <alignment horizontal="left" wrapText="1"/>
    </xf>
    <xf numFmtId="0" fontId="12" fillId="2" borderId="7" xfId="0" applyFont="1" applyFill="1" applyBorder="1" applyAlignment="1">
      <alignment horizontal="left" wrapText="1"/>
    </xf>
    <xf numFmtId="0" fontId="13" fillId="3" borderId="8" xfId="0" applyFont="1" applyFill="1" applyBorder="1" applyAlignment="1">
      <alignment horizontal="center"/>
    </xf>
    <xf numFmtId="0" fontId="13" fillId="3" borderId="9" xfId="0" applyFont="1" applyFill="1" applyBorder="1" applyAlignment="1">
      <alignment horizontal="center"/>
    </xf>
    <xf numFmtId="0" fontId="13" fillId="0" borderId="0" xfId="0" applyFont="1" applyBorder="1" applyAlignment="1">
      <alignment wrapText="1"/>
    </xf>
    <xf numFmtId="0" fontId="14" fillId="0" borderId="13" xfId="0" applyFont="1" applyFill="1" applyBorder="1" applyAlignment="1">
      <alignment horizontal="left"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3" fillId="0" borderId="0" xfId="0" applyFont="1" applyBorder="1" applyAlignment="1">
      <alignment horizontal="center"/>
    </xf>
    <xf numFmtId="0" fontId="14" fillId="0" borderId="4" xfId="0" applyFont="1" applyFill="1" applyBorder="1" applyAlignment="1">
      <alignment wrapText="1"/>
    </xf>
    <xf numFmtId="0" fontId="14" fillId="0" borderId="3" xfId="0" applyFont="1" applyFill="1" applyBorder="1" applyAlignment="1">
      <alignment horizontal="left" textRotation="90" wrapText="1"/>
    </xf>
    <xf numFmtId="0" fontId="14" fillId="0" borderId="1" xfId="0" applyFont="1" applyFill="1" applyBorder="1" applyAlignment="1">
      <alignment horizontal="left" textRotation="90" wrapText="1"/>
    </xf>
    <xf numFmtId="0" fontId="14" fillId="0" borderId="0" xfId="0" applyFont="1" applyFill="1" applyAlignment="1">
      <alignment vertical="top" wrapText="1"/>
    </xf>
    <xf numFmtId="0" fontId="14" fillId="0" borderId="0" xfId="0" applyFont="1" applyFill="1" applyAlignment="1"/>
  </cellXfs>
  <cellStyles count="1">
    <cellStyle name="Normal" xfId="0" builtinId="0"/>
  </cellStyles>
  <dxfs count="78">
    <dxf>
      <font>
        <b/>
        <i val="0"/>
        <strike val="0"/>
        <condense val="0"/>
        <extend val="0"/>
        <outline val="0"/>
        <shadow val="0"/>
        <u val="none"/>
        <vertAlign val="baseline"/>
        <sz val="9"/>
        <color theme="0"/>
        <name val="Arial"/>
        <scheme val="none"/>
      </font>
      <fill>
        <patternFill patternType="none">
          <fgColor indexed="64"/>
          <bgColor auto="1"/>
        </patternFill>
      </fill>
      <alignment horizontal="general" vertical="bottom" textRotation="45" wrapText="1" indent="0" justifyLastLine="0" shrinkToFit="0" readingOrder="0"/>
      <border diagonalUp="0" diagonalDown="0" outline="0">
        <left style="thin">
          <color theme="0" tint="-4.9989318521683403E-2"/>
        </left>
        <right style="thin">
          <color theme="0" tint="-4.9989318521683403E-2"/>
        </right>
        <top/>
        <bottom/>
      </border>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ont>
        <b val="0"/>
        <i val="0"/>
        <strike val="0"/>
        <condense val="0"/>
        <extend val="0"/>
        <outline val="0"/>
        <shadow val="0"/>
        <u val="none"/>
        <vertAlign val="baseline"/>
        <sz val="9"/>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bottom" textRotation="0" wrapText="1" indent="0" justifyLastLine="0" shrinkToFit="0" readingOrder="0"/>
    </dxf>
    <dxf>
      <border diagonalUp="0" diagonalDown="0">
        <left style="thick">
          <color rgb="FF31849B"/>
        </left>
        <right style="thick">
          <color rgb="FF31849B"/>
        </right>
        <top style="thick">
          <color rgb="FF31849B"/>
        </top>
        <bottom style="thick">
          <color rgb="FF31849B"/>
        </bottom>
      </border>
    </dxf>
    <dxf>
      <border diagonalUp="0" diagonalDown="0">
        <left style="thick">
          <color rgb="FF31849B"/>
        </left>
        <right style="thick">
          <color rgb="FF31849B"/>
        </right>
        <top style="thick">
          <color rgb="FF31849B"/>
        </top>
        <bottom style="thick">
          <color rgb="FF31849B"/>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ck">
          <color theme="1"/>
        </right>
        <top style="thin">
          <color auto="1"/>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9"/>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top" textRotation="0" wrapText="1" indent="0" justifyLastLine="0" shrinkToFit="0" readingOrder="0"/>
      <border diagonalUp="0" diagonalDown="0" outline="0">
        <left/>
        <right style="thick">
          <color theme="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left" vertical="top" textRotation="0" wrapText="1" indent="0" justifyLastLine="0" shrinkToFit="0" readingOrder="0"/>
    </dxf>
    <dxf>
      <fill>
        <patternFill patternType="none">
          <bgColor auto="1"/>
        </patternFill>
      </fill>
      <alignment horizontal="left" vertical="top" textRotation="0"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font>
        <b/>
        <strike val="0"/>
        <outline val="0"/>
        <shadow val="0"/>
        <u val="none"/>
        <vertAlign val="baseline"/>
        <color theme="0"/>
        <name val="Arial"/>
        <scheme val="none"/>
      </font>
      <fill>
        <patternFill patternType="none">
          <bgColor auto="1"/>
        </patternFill>
      </fill>
    </dxf>
    <dxf>
      <border outline="0">
        <top style="thin">
          <color theme="0" tint="-4.9989318521683403E-2"/>
        </top>
      </border>
    </dxf>
    <dxf>
      <font>
        <b val="0"/>
        <i val="0"/>
        <strike val="0"/>
        <condense val="0"/>
        <extend val="0"/>
        <outline val="0"/>
        <shadow val="0"/>
        <u val="none"/>
        <vertAlign val="baseline"/>
        <sz val="9"/>
        <color auto="1"/>
        <name val="Arial"/>
        <scheme val="none"/>
      </font>
      <fill>
        <patternFill patternType="none">
          <bgColor auto="1"/>
        </patternFill>
      </fill>
      <alignment horizontal="general" vertical="bottom" textRotation="0" wrapText="1" indent="0" justifyLastLine="0" shrinkToFit="0" readingOrder="0"/>
    </dxf>
    <dxf>
      <border outline="0">
        <bottom style="thin">
          <color theme="0" tint="-4.9989318521683403E-2"/>
        </bottom>
      </border>
    </dxf>
    <dxf>
      <font>
        <b val="0"/>
        <i val="0"/>
        <strike val="0"/>
        <condense val="0"/>
        <extend val="0"/>
        <outline val="0"/>
        <shadow val="0"/>
        <u val="none"/>
        <vertAlign val="baseline"/>
        <sz val="9"/>
        <color rgb="FF000000"/>
        <name val="Arial"/>
        <scheme val="none"/>
      </font>
      <alignment horizontal="general" vertical="bottom"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left" vertical="bottom" textRotation="0" wrapText="1" indent="0" justifyLastLine="0" shrinkToFit="0" readingOrder="0"/>
    </dxf>
    <dxf>
      <fill>
        <patternFill>
          <bgColor rgb="FFDBEEF4"/>
        </patternFill>
      </fill>
    </dxf>
    <dxf>
      <fill>
        <patternFill>
          <bgColor theme="0" tint="-4.9989318521683403E-2"/>
        </patternFill>
      </fill>
    </dxf>
    <dxf>
      <fill>
        <patternFill>
          <bgColor rgb="FF31849B"/>
        </patternFill>
      </fill>
    </dxf>
    <dxf>
      <fill>
        <patternFill>
          <bgColor rgb="FF31849B"/>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Table Style 1" pivot="0" count="5">
      <tableStyleElement type="wholeTable" dxfId="77"/>
      <tableStyleElement type="headerRow" dxfId="76"/>
      <tableStyleElement type="totalRow" dxfId="75"/>
      <tableStyleElement type="firstRowStripe" dxfId="74"/>
      <tableStyleElement type="secondRowStripe" dxfId="73"/>
    </tableStyle>
  </tableStyles>
  <colors>
    <mruColors>
      <color rgb="FF31849B"/>
      <color rgb="FFDBEEF4"/>
      <color rgb="FF84C6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4724400</xdr:colOff>
      <xdr:row>1</xdr:row>
      <xdr:rowOff>0</xdr:rowOff>
    </xdr:to>
    <xdr:sp macro="" textlink="">
      <xdr:nvSpPr>
        <xdr:cNvPr id="2053"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1" displayName="Table1" ref="A1:Y248" totalsRowCount="1" headerRowDxfId="0" dataDxfId="68" totalsRowDxfId="66" headerRowBorderDxfId="69" tableBorderDxfId="67">
  <autoFilter ref="A1:Y247"/>
  <sortState ref="A2:Y247">
    <sortCondition ref="A1:A247"/>
  </sortState>
  <tableColumns count="25">
    <tableColumn id="1" name="State" dataDxfId="42" totalsRowDxfId="40"/>
    <tableColumn id="2" name="Type of Policy" dataDxfId="43" totalsRowDxfId="39"/>
    <tableColumn id="3" name="Date Passed" dataDxfId="49" totalsRowDxfId="38"/>
    <tableColumn id="4" name="Bill #" dataDxfId="48" totalsRowDxfId="37"/>
    <tableColumn id="5" name="Description" dataDxfId="47" totalsRowDxfId="36"/>
    <tableColumn id="6" name="Other links" dataDxfId="46" totalsRowDxfId="35"/>
    <tableColumn id="7" name="Federal Policy" dataDxfId="45" totalsRowDxfId="34"/>
    <tableColumn id="8" name="System" dataDxfId="44" totalsRowDxfId="33"/>
    <tableColumn id="9" name="Funding" totalsRowFunction="sum" dataDxfId="65" totalsRowDxfId="32"/>
    <tableColumn id="10" name="Industry Partnerships/Work-based Learning" totalsRowFunction="sum" dataDxfId="41" totalsRowDxfId="31"/>
    <tableColumn id="11" name="Dual/Concurrent Enrollment, and Articulation/Early College" totalsRowFunction="sum" dataDxfId="64" totalsRowDxfId="30"/>
    <tableColumn id="12" name="Industry- recognized Credentials" totalsRowFunction="sum" dataDxfId="63" totalsRowDxfId="29"/>
    <tableColumn id="13" name="Graduation Requirements" totalsRowFunction="sum" dataDxfId="62" totalsRowDxfId="28"/>
    <tableColumn id="14" name="Data, Reporting and/or _x000a_Accountability" totalsRowFunction="sum" dataDxfId="61" totalsRowDxfId="27"/>
    <tableColumn id="15" name="STEM" totalsRowFunction="sum" dataDxfId="60" totalsRowDxfId="26"/>
    <tableColumn id="16" name="CTE Standards/_x000a_Accreditation" totalsRowFunction="sum" dataDxfId="59" totalsRowDxfId="25"/>
    <tableColumn id="17" name="Technical/_x000a_Employability Assessments" totalsRowFunction="sum" dataDxfId="58" totalsRowDxfId="24"/>
    <tableColumn id="18" name="CTE Teacher Certification/Development" totalsRowFunction="sum" dataDxfId="57" totalsRowDxfId="23"/>
    <tableColumn id="19" name="Career/Academic Counseling" totalsRowFunction="sum" dataDxfId="56" totalsRowDxfId="22"/>
    <tableColumn id="20" name="Governance" totalsRowFunction="sum" dataDxfId="55" totalsRowDxfId="21"/>
    <tableColumn id="21" name="Scheduling/_x000a_Extended Learning" totalsRowFunction="sum" dataDxfId="54" totalsRowDxfId="20"/>
    <tableColumn id="22" name="Prior Learning/_x000a_Competency-based Education" totalsRowFunction="sum" dataDxfId="53" totalsRowDxfId="19"/>
    <tableColumn id="23" name="CTSO/_x000a_Leadership Development" totalsRowFunction="sum" dataDxfId="52" totalsRowDxfId="18"/>
    <tableColumn id="24" name="Applied Bachelor’s Degrees" totalsRowFunction="sum" dataDxfId="51" totalsRowDxfId="17"/>
    <tableColumn id="25" name="Access/ Equity" totalsRowFunction="sum" dataDxfId="50" totalsRowDxfId="16"/>
  </tableColumns>
  <tableStyleInfo name="Table Style 1" showFirstColumn="0" showLastColumn="0" showRowStripes="1" showColumnStripes="0"/>
</table>
</file>

<file path=xl/tables/table2.xml><?xml version="1.0" encoding="utf-8"?>
<table xmlns="http://schemas.openxmlformats.org/spreadsheetml/2006/main" id="2" name="Table2" displayName="Table2" ref="B6:D23" totalsRowShown="0" headerRowDxfId="72" tableBorderDxfId="15">
  <autoFilter ref="B6:D23"/>
  <sortState ref="B2:D18">
    <sortCondition descending="1" ref="C1:C18"/>
  </sortState>
  <tableColumns count="3">
    <tableColumn id="1" name="Policy Category" dataDxfId="11"/>
    <tableColumn id="2" name="Number of states" dataDxfId="9"/>
    <tableColumn id="3" name="States" dataDxfId="10"/>
  </tableColumns>
  <tableStyleInfo name="Table Style 1" showFirstColumn="0" showLastColumn="0" showRowStripes="1" showColumnStripes="0"/>
</table>
</file>

<file path=xl/tables/table3.xml><?xml version="1.0" encoding="utf-8"?>
<table xmlns="http://schemas.openxmlformats.org/spreadsheetml/2006/main" id="3" name="Table3" displayName="Table3" ref="F6:G10" totalsRowShown="0" headerRowDxfId="71" dataDxfId="70" tableBorderDxfId="14">
  <autoFilter ref="F6:G10"/>
  <tableColumns count="2">
    <tableColumn id="1" name="System" dataDxfId="13"/>
    <tableColumn id="2" name="Number of policies" dataDxfId="1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legis.state.tx.us/tlodocs/85R/billtext/pdf/SB00826F.pdf" TargetMode="External"/><Relationship Id="rId7" Type="http://schemas.openxmlformats.org/officeDocument/2006/relationships/printerSettings" Target="../printerSettings/printerSettings1.bin"/><Relationship Id="rId2" Type="http://schemas.openxmlformats.org/officeDocument/2006/relationships/hyperlink" Target="http://www.legis.state.tx.us/tlodocs/85R/billtext/pdf/SB00802F.pdf" TargetMode="External"/><Relationship Id="rId1" Type="http://schemas.openxmlformats.org/officeDocument/2006/relationships/hyperlink" Target="http://www.legis.state.tx.us/tlodocs/85R/billtext/pdf/HB02010F.pdf" TargetMode="External"/><Relationship Id="rId6" Type="http://schemas.openxmlformats.org/officeDocument/2006/relationships/hyperlink" Target="https://www.lctcs.edu/news-media/press-releases/sacscoc-approves-lctcs-campus-realignments/" TargetMode="External"/><Relationship Id="rId5" Type="http://schemas.openxmlformats.org/officeDocument/2006/relationships/hyperlink" Target="https://www2.ed.gov/admins/lead/account/stateplan17/caconsolidatedstateplan.pdf" TargetMode="External"/><Relationship Id="rId4" Type="http://schemas.openxmlformats.org/officeDocument/2006/relationships/hyperlink" Target="http://www.legis.state.tx.us/tlodocs/85R/billtext/pdf/SB01091F.pdf"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92"/>
  <sheetViews>
    <sheetView tabSelected="1" zoomScale="110" zoomScaleNormal="110" workbookViewId="0">
      <pane xSplit="1" ySplit="1" topLeftCell="B2" activePane="bottomRight" state="frozen"/>
      <selection pane="topRight" activeCell="B1" sqref="B1"/>
      <selection pane="bottomLeft" activeCell="A2" sqref="A2"/>
      <selection pane="bottomRight"/>
    </sheetView>
  </sheetViews>
  <sheetFormatPr defaultColWidth="14.42578125" defaultRowHeight="15.75" customHeight="1" x14ac:dyDescent="0.2"/>
  <cols>
    <col min="1" max="1" width="14.85546875" style="45" bestFit="1" customWidth="1"/>
    <col min="2" max="2" width="11.140625" style="42" customWidth="1"/>
    <col min="3" max="3" width="9.5703125" style="42" customWidth="1"/>
    <col min="4" max="4" width="10.7109375" style="42" customWidth="1"/>
    <col min="5" max="5" width="80.5703125" style="42" customWidth="1"/>
    <col min="6" max="6" width="8" style="25" customWidth="1"/>
    <col min="7" max="7" width="10.42578125" style="25" customWidth="1"/>
    <col min="8" max="8" width="10.42578125" style="22" customWidth="1"/>
    <col min="9" max="25" width="7.7109375" style="2" customWidth="1"/>
    <col min="26" max="16384" width="14.42578125" style="2"/>
  </cols>
  <sheetData>
    <row r="1" spans="1:32" s="62" customFormat="1" ht="128.25" x14ac:dyDescent="0.2">
      <c r="A1" s="44" t="s">
        <v>0</v>
      </c>
      <c r="B1" s="44" t="s">
        <v>50</v>
      </c>
      <c r="C1" s="44" t="s">
        <v>51</v>
      </c>
      <c r="D1" s="44" t="s">
        <v>52</v>
      </c>
      <c r="E1" s="44" t="s">
        <v>53</v>
      </c>
      <c r="F1" s="44" t="s">
        <v>54</v>
      </c>
      <c r="G1" s="44" t="s">
        <v>84</v>
      </c>
      <c r="H1" s="58" t="s">
        <v>230</v>
      </c>
      <c r="I1" s="59" t="s">
        <v>55</v>
      </c>
      <c r="J1" s="60" t="s">
        <v>56</v>
      </c>
      <c r="K1" s="60" t="s">
        <v>57</v>
      </c>
      <c r="L1" s="60" t="s">
        <v>58</v>
      </c>
      <c r="M1" s="60" t="s">
        <v>59</v>
      </c>
      <c r="N1" s="60" t="s">
        <v>60</v>
      </c>
      <c r="O1" s="60" t="s">
        <v>61</v>
      </c>
      <c r="P1" s="60" t="s">
        <v>62</v>
      </c>
      <c r="Q1" s="60" t="s">
        <v>63</v>
      </c>
      <c r="R1" s="60" t="s">
        <v>64</v>
      </c>
      <c r="S1" s="60" t="s">
        <v>65</v>
      </c>
      <c r="T1" s="60" t="s">
        <v>66</v>
      </c>
      <c r="U1" s="60" t="s">
        <v>67</v>
      </c>
      <c r="V1" s="60" t="s">
        <v>68</v>
      </c>
      <c r="W1" s="60" t="s">
        <v>69</v>
      </c>
      <c r="X1" s="60" t="s">
        <v>70</v>
      </c>
      <c r="Y1" s="60" t="s">
        <v>71</v>
      </c>
      <c r="Z1" s="61"/>
      <c r="AA1" s="61"/>
      <c r="AB1" s="61"/>
      <c r="AC1" s="61"/>
      <c r="AD1" s="61"/>
      <c r="AE1" s="61"/>
      <c r="AF1" s="61"/>
    </row>
    <row r="2" spans="1:32" ht="48" x14ac:dyDescent="0.2">
      <c r="A2" s="29" t="s">
        <v>1</v>
      </c>
      <c r="B2" s="26" t="s">
        <v>74</v>
      </c>
      <c r="C2" s="27">
        <v>42873</v>
      </c>
      <c r="D2" s="28" t="str">
        <f>HYPERLINK("https://www.alsde.edu/Documents/ETF%20FY%202018%20Conf%20Cmte.pdf","SB129")</f>
        <v>SB129</v>
      </c>
      <c r="E2" s="29" t="s">
        <v>256</v>
      </c>
      <c r="F2" s="1"/>
      <c r="G2" s="1"/>
      <c r="H2" s="8" t="s">
        <v>81</v>
      </c>
      <c r="I2" s="3">
        <v>1</v>
      </c>
      <c r="J2" s="3"/>
      <c r="K2" s="3"/>
      <c r="L2" s="3">
        <v>1</v>
      </c>
      <c r="M2" s="3"/>
      <c r="N2" s="3"/>
      <c r="O2" s="3"/>
      <c r="P2" s="3"/>
      <c r="Q2" s="3"/>
      <c r="R2" s="3"/>
      <c r="S2" s="3">
        <v>1</v>
      </c>
      <c r="T2" s="3"/>
      <c r="U2" s="3"/>
      <c r="V2" s="3"/>
      <c r="W2" s="3"/>
      <c r="X2" s="3"/>
      <c r="Y2" s="3"/>
      <c r="Z2" s="3"/>
      <c r="AA2" s="3"/>
      <c r="AB2" s="3"/>
      <c r="AC2" s="3"/>
      <c r="AD2" s="3"/>
      <c r="AE2" s="3"/>
      <c r="AF2" s="3"/>
    </row>
    <row r="3" spans="1:32" ht="24" x14ac:dyDescent="0.2">
      <c r="A3" s="29" t="s">
        <v>1</v>
      </c>
      <c r="B3" s="26" t="s">
        <v>114</v>
      </c>
      <c r="C3" s="27"/>
      <c r="D3" s="30" t="str">
        <f>HYPERLINK("https://www.alsde.edu/dept/essa/State%20Plan/ESSA%20Plan,%20Submitted%2010-12-2017.pdf","Alabama's State Plan")</f>
        <v>Alabama's State Plan</v>
      </c>
      <c r="E3" s="26" t="s">
        <v>85</v>
      </c>
      <c r="F3" s="5"/>
      <c r="G3" s="5" t="s">
        <v>86</v>
      </c>
      <c r="H3" s="8" t="s">
        <v>73</v>
      </c>
      <c r="I3" s="5"/>
      <c r="J3" s="5"/>
      <c r="K3" s="5">
        <v>1</v>
      </c>
      <c r="L3" s="5">
        <v>1</v>
      </c>
      <c r="M3" s="5"/>
      <c r="N3" s="5">
        <v>1</v>
      </c>
      <c r="O3" s="5"/>
      <c r="P3" s="5"/>
      <c r="Q3" s="5">
        <v>1</v>
      </c>
      <c r="R3" s="5"/>
      <c r="S3" s="5"/>
      <c r="T3" s="5"/>
      <c r="U3" s="5"/>
      <c r="V3" s="5"/>
      <c r="W3" s="5"/>
      <c r="X3" s="5"/>
      <c r="Y3" s="6"/>
      <c r="Z3" s="3"/>
      <c r="AA3" s="3"/>
      <c r="AB3" s="3"/>
      <c r="AC3" s="3"/>
      <c r="AD3" s="3"/>
      <c r="AE3" s="3"/>
      <c r="AF3" s="3"/>
    </row>
    <row r="4" spans="1:32" ht="48" x14ac:dyDescent="0.2">
      <c r="A4" s="29" t="s">
        <v>1</v>
      </c>
      <c r="B4" s="26" t="s">
        <v>96</v>
      </c>
      <c r="C4" s="27"/>
      <c r="D4" s="26" t="s">
        <v>82</v>
      </c>
      <c r="E4" s="29" t="s">
        <v>83</v>
      </c>
      <c r="F4" s="4" t="str">
        <f>HYPERLINK("http://alabamanewscenter.com/2017/10/06/alabama-community-colleges-offer-manufacturing-credentials/","Source")</f>
        <v>Source</v>
      </c>
      <c r="G4" s="5"/>
      <c r="H4" s="8" t="s">
        <v>76</v>
      </c>
      <c r="I4" s="5"/>
      <c r="J4" s="5"/>
      <c r="K4" s="5"/>
      <c r="L4" s="5">
        <v>1</v>
      </c>
      <c r="M4" s="5"/>
      <c r="N4" s="5"/>
      <c r="O4" s="5"/>
      <c r="P4" s="5"/>
      <c r="Q4" s="5"/>
      <c r="R4" s="5"/>
      <c r="S4" s="5"/>
      <c r="T4" s="5"/>
      <c r="U4" s="5"/>
      <c r="V4" s="5"/>
      <c r="W4" s="5"/>
      <c r="X4" s="5"/>
      <c r="Y4" s="6"/>
      <c r="Z4" s="5"/>
      <c r="AA4" s="5"/>
      <c r="AB4" s="5"/>
      <c r="AC4" s="5"/>
      <c r="AD4" s="5"/>
      <c r="AE4" s="5"/>
      <c r="AF4" s="5"/>
    </row>
    <row r="5" spans="1:32" ht="36" x14ac:dyDescent="0.2">
      <c r="A5" s="29" t="s">
        <v>1</v>
      </c>
      <c r="B5" s="26" t="s">
        <v>96</v>
      </c>
      <c r="C5" s="27"/>
      <c r="D5" s="30" t="str">
        <f>HYPERLINK("http://governor.alabama.gov/news/press-releases/governor-ivey-announces-strong-start-strong-finish-education-initiative","Strong Start, Strong Finish")</f>
        <v>Strong Start, Strong Finish</v>
      </c>
      <c r="E5" s="29" t="s">
        <v>255</v>
      </c>
      <c r="F5" s="5"/>
      <c r="G5" s="5"/>
      <c r="H5" s="8" t="s">
        <v>73</v>
      </c>
      <c r="I5" s="5"/>
      <c r="J5" s="5"/>
      <c r="K5" s="5"/>
      <c r="L5" s="5"/>
      <c r="M5" s="5"/>
      <c r="N5" s="5"/>
      <c r="O5" s="5"/>
      <c r="P5" s="5"/>
      <c r="Q5" s="5"/>
      <c r="R5" s="5"/>
      <c r="S5" s="5"/>
      <c r="T5" s="5">
        <v>1</v>
      </c>
      <c r="U5" s="5"/>
      <c r="V5" s="5"/>
      <c r="W5" s="5"/>
      <c r="X5" s="5"/>
      <c r="Y5" s="6"/>
      <c r="Z5" s="5"/>
      <c r="AA5" s="5"/>
      <c r="AB5" s="5"/>
      <c r="AC5" s="5"/>
      <c r="AD5" s="5"/>
      <c r="AE5" s="5"/>
      <c r="AF5" s="5"/>
    </row>
    <row r="6" spans="1:32" ht="60" x14ac:dyDescent="0.2">
      <c r="A6" s="29" t="s">
        <v>1</v>
      </c>
      <c r="B6" s="26" t="s">
        <v>72</v>
      </c>
      <c r="C6" s="27">
        <v>42838</v>
      </c>
      <c r="D6" s="28" t="str">
        <f>HYPERLINK("http://alisondb.legislature.state.al.us/Alison/SESSBillStatusResult.aspx?BILL=HB163&amp;WIN_TYPE=SELECTED_STATUS","HB163")</f>
        <v>HB163</v>
      </c>
      <c r="E6" s="29" t="s">
        <v>253</v>
      </c>
      <c r="F6" s="1"/>
      <c r="G6" s="1"/>
      <c r="H6" s="8" t="s">
        <v>76</v>
      </c>
      <c r="I6" s="3"/>
      <c r="J6" s="3"/>
      <c r="K6" s="3"/>
      <c r="L6" s="3"/>
      <c r="M6" s="3"/>
      <c r="N6" s="3"/>
      <c r="O6" s="3"/>
      <c r="P6" s="3"/>
      <c r="Q6" s="3"/>
      <c r="R6" s="3"/>
      <c r="S6" s="3"/>
      <c r="T6" s="3">
        <v>1</v>
      </c>
      <c r="U6" s="3"/>
      <c r="V6" s="3"/>
      <c r="W6" s="3"/>
      <c r="X6" s="3"/>
      <c r="Y6" s="3"/>
      <c r="Z6" s="5"/>
      <c r="AA6" s="5"/>
      <c r="AB6" s="5"/>
      <c r="AC6" s="5"/>
      <c r="AD6" s="5"/>
      <c r="AE6" s="5"/>
      <c r="AF6" s="5"/>
    </row>
    <row r="7" spans="1:32" ht="60" x14ac:dyDescent="0.2">
      <c r="A7" s="29" t="s">
        <v>1</v>
      </c>
      <c r="B7" s="26" t="s">
        <v>72</v>
      </c>
      <c r="C7" s="27">
        <v>42852</v>
      </c>
      <c r="D7" s="28" t="str">
        <f>HYPERLINK("http://alisondb.legislature.state.al.us/Alison/SESSBillStatusResult.aspx?BILL=SJR85&amp;WIN_TYPE=SELECTED_STATUS","SJR85")</f>
        <v>SJR85</v>
      </c>
      <c r="E7" s="29" t="s">
        <v>254</v>
      </c>
      <c r="F7" s="1"/>
      <c r="G7" s="1"/>
      <c r="H7" s="8" t="s">
        <v>76</v>
      </c>
      <c r="I7" s="3">
        <v>1</v>
      </c>
      <c r="J7" s="3"/>
      <c r="K7" s="3"/>
      <c r="L7" s="3">
        <v>1</v>
      </c>
      <c r="M7" s="3"/>
      <c r="N7" s="3"/>
      <c r="O7" s="3">
        <v>1</v>
      </c>
      <c r="P7" s="3"/>
      <c r="Q7" s="3"/>
      <c r="R7" s="3"/>
      <c r="S7" s="3"/>
      <c r="T7" s="3">
        <v>1</v>
      </c>
      <c r="U7" s="3"/>
      <c r="V7" s="3"/>
      <c r="W7" s="3"/>
      <c r="X7" s="3"/>
      <c r="Y7" s="3"/>
      <c r="Z7" s="3"/>
      <c r="AA7" s="3"/>
      <c r="AB7" s="3"/>
      <c r="AC7" s="3"/>
      <c r="AD7" s="3"/>
      <c r="AE7" s="3"/>
      <c r="AF7" s="3"/>
    </row>
    <row r="8" spans="1:32" ht="60" x14ac:dyDescent="0.2">
      <c r="A8" s="29" t="s">
        <v>2</v>
      </c>
      <c r="B8" s="26" t="s">
        <v>72</v>
      </c>
      <c r="C8" s="27">
        <v>42976</v>
      </c>
      <c r="D8" s="30" t="str">
        <f>HYPERLINK("http://www.akleg.gov/basis/Bill/Detail/30?Root=HB141","HB141")</f>
        <v>HB141</v>
      </c>
      <c r="E8" s="29" t="s">
        <v>257</v>
      </c>
      <c r="F8" s="4" t="str">
        <f>HYPERLINK("http://www.thecordovatimes.com/2017/09/01/technical-vocational-education-program-extended/","Source")</f>
        <v>Source</v>
      </c>
      <c r="G8" s="5"/>
      <c r="H8" s="8" t="s">
        <v>75</v>
      </c>
      <c r="I8" s="5">
        <v>1</v>
      </c>
      <c r="J8" s="5"/>
      <c r="K8" s="5"/>
      <c r="L8" s="5"/>
      <c r="M8" s="5"/>
      <c r="N8" s="5"/>
      <c r="O8" s="5"/>
      <c r="P8" s="5"/>
      <c r="Q8" s="5"/>
      <c r="R8" s="5"/>
      <c r="S8" s="5"/>
      <c r="T8" s="5"/>
      <c r="U8" s="5"/>
      <c r="V8" s="5"/>
      <c r="W8" s="5"/>
      <c r="X8" s="5"/>
      <c r="Y8" s="6"/>
      <c r="Z8" s="3"/>
      <c r="AA8" s="3"/>
      <c r="AB8" s="3"/>
      <c r="AC8" s="3"/>
      <c r="AD8" s="3"/>
      <c r="AE8" s="3"/>
      <c r="AF8" s="3"/>
    </row>
    <row r="9" spans="1:32" ht="72" x14ac:dyDescent="0.2">
      <c r="A9" s="29" t="s">
        <v>3</v>
      </c>
      <c r="B9" s="26" t="s">
        <v>114</v>
      </c>
      <c r="C9" s="27">
        <v>42975</v>
      </c>
      <c r="D9" s="28" t="str">
        <f>HYPERLINK("https://azsbe.az.gov/sites/default/files/media/August%20AMENDED%20Agenda%20-%20Part%202_0.pdf","Board Meeting Minutes 8/28 pgs 129-133")</f>
        <v>Board Meeting Minutes 8/28 pgs 129-133</v>
      </c>
      <c r="E9" s="26" t="s">
        <v>89</v>
      </c>
      <c r="F9" s="1"/>
      <c r="G9" s="1" t="s">
        <v>86</v>
      </c>
      <c r="H9" s="8" t="s">
        <v>73</v>
      </c>
      <c r="I9" s="3"/>
      <c r="J9" s="3"/>
      <c r="K9" s="3"/>
      <c r="L9" s="3">
        <v>1</v>
      </c>
      <c r="M9" s="3"/>
      <c r="N9" s="3"/>
      <c r="O9" s="3"/>
      <c r="P9" s="3"/>
      <c r="Q9" s="3"/>
      <c r="R9" s="3"/>
      <c r="S9" s="3"/>
      <c r="T9" s="3"/>
      <c r="U9" s="3"/>
      <c r="V9" s="3"/>
      <c r="W9" s="3"/>
      <c r="X9" s="3"/>
      <c r="Y9" s="3"/>
      <c r="Z9" s="3"/>
      <c r="AA9" s="3"/>
      <c r="AB9" s="3"/>
      <c r="AC9" s="3"/>
      <c r="AD9" s="3"/>
      <c r="AE9" s="3"/>
      <c r="AF9" s="3"/>
    </row>
    <row r="10" spans="1:32" ht="60" x14ac:dyDescent="0.2">
      <c r="A10" s="29" t="s">
        <v>3</v>
      </c>
      <c r="B10" s="26" t="s">
        <v>74</v>
      </c>
      <c r="C10" s="27">
        <v>42867</v>
      </c>
      <c r="D10" s="28" t="str">
        <f>HYPERLINK("https://apps.azleg.gov/BillStatus/BillOverview/69581","SB1522 (General Appropriations Act)")</f>
        <v>SB1522 (General Appropriations Act)</v>
      </c>
      <c r="E10" s="26" t="s">
        <v>90</v>
      </c>
      <c r="F10" s="21" t="str">
        <f>HYPERLINK("http://www.azcentral.com/story/news/politics/arizona-education/2017/03/19/ducey-plans-improve-arizona-education-where-they-now/98612586/","Source")</f>
        <v>Source</v>
      </c>
      <c r="G10" s="1"/>
      <c r="H10" s="8" t="s">
        <v>81</v>
      </c>
      <c r="I10" s="3">
        <v>1</v>
      </c>
      <c r="J10" s="3"/>
      <c r="K10" s="3"/>
      <c r="L10" s="3"/>
      <c r="M10" s="3"/>
      <c r="N10" s="3"/>
      <c r="O10" s="3"/>
      <c r="P10" s="3"/>
      <c r="Q10" s="3"/>
      <c r="R10" s="3"/>
      <c r="S10" s="3"/>
      <c r="T10" s="3"/>
      <c r="U10" s="3"/>
      <c r="V10" s="3"/>
      <c r="W10" s="3"/>
      <c r="X10" s="3"/>
      <c r="Y10" s="3">
        <v>1</v>
      </c>
      <c r="Z10" s="3"/>
      <c r="AA10" s="3"/>
      <c r="AB10" s="3"/>
      <c r="AC10" s="3"/>
      <c r="AD10" s="3"/>
      <c r="AE10" s="3"/>
      <c r="AF10" s="3"/>
    </row>
    <row r="11" spans="1:32" ht="36" x14ac:dyDescent="0.2">
      <c r="A11" s="29" t="s">
        <v>3</v>
      </c>
      <c r="B11" s="26" t="s">
        <v>72</v>
      </c>
      <c r="C11" s="27">
        <v>42857</v>
      </c>
      <c r="D11" s="28" t="str">
        <f>HYPERLINK("https://apps.azleg.gov/BillStatus/BillOverview/69391","HB2388")</f>
        <v>HB2388</v>
      </c>
      <c r="E11" s="29" t="s">
        <v>349</v>
      </c>
      <c r="F11" s="21" t="str">
        <f>HYPERLINK("http://www.nationalskillscoalition.org/resources/publications/file/2017-Legislative-Roundup.pdf","Source")</f>
        <v>Source</v>
      </c>
      <c r="G11" s="1"/>
      <c r="H11" s="8" t="s">
        <v>76</v>
      </c>
      <c r="I11" s="3">
        <v>1</v>
      </c>
      <c r="J11" s="3"/>
      <c r="K11" s="3"/>
      <c r="L11" s="3"/>
      <c r="M11" s="3"/>
      <c r="N11" s="3"/>
      <c r="O11" s="3">
        <v>1</v>
      </c>
      <c r="P11" s="3"/>
      <c r="Q11" s="3"/>
      <c r="R11" s="3"/>
      <c r="S11" s="3"/>
      <c r="T11" s="3"/>
      <c r="U11" s="3"/>
      <c r="V11" s="3"/>
      <c r="W11" s="3"/>
      <c r="X11" s="3"/>
      <c r="Y11" s="3"/>
      <c r="Z11" s="3"/>
      <c r="AA11" s="3"/>
      <c r="AB11" s="3"/>
      <c r="AC11" s="3"/>
      <c r="AD11" s="3"/>
      <c r="AE11" s="3"/>
      <c r="AF11" s="3"/>
    </row>
    <row r="12" spans="1:32" ht="48" x14ac:dyDescent="0.2">
      <c r="A12" s="29" t="s">
        <v>3</v>
      </c>
      <c r="B12" s="26" t="s">
        <v>72</v>
      </c>
      <c r="C12" s="27">
        <v>42863</v>
      </c>
      <c r="D12" s="30" t="str">
        <f>HYPERLINK("https://apps.azleg.gov/BillStatus/BillOverview/68733","HB2229")</f>
        <v>HB2229</v>
      </c>
      <c r="E12" s="26" t="s">
        <v>87</v>
      </c>
      <c r="F12" s="9" t="str">
        <f>HYPERLINK("https://www.dcourier.com/news/2017/mar/20/mountain-institute-jted-student-testifies-state-se/","Source")</f>
        <v>Source</v>
      </c>
      <c r="G12" s="5"/>
      <c r="H12" s="8" t="s">
        <v>73</v>
      </c>
      <c r="I12" s="5"/>
      <c r="J12" s="5"/>
      <c r="K12" s="5"/>
      <c r="L12" s="5">
        <v>1</v>
      </c>
      <c r="M12" s="5"/>
      <c r="N12" s="5"/>
      <c r="O12" s="5"/>
      <c r="P12" s="5"/>
      <c r="Q12" s="5"/>
      <c r="R12" s="5"/>
      <c r="S12" s="5"/>
      <c r="T12" s="5"/>
      <c r="U12" s="5"/>
      <c r="V12" s="5"/>
      <c r="W12" s="5"/>
      <c r="X12" s="5"/>
      <c r="Y12" s="6"/>
      <c r="Z12" s="5"/>
      <c r="AA12" s="5"/>
      <c r="AB12" s="5"/>
      <c r="AC12" s="5"/>
      <c r="AD12" s="5"/>
      <c r="AE12" s="5"/>
      <c r="AF12" s="5"/>
    </row>
    <row r="13" spans="1:32" ht="48" x14ac:dyDescent="0.2">
      <c r="A13" s="29" t="s">
        <v>3</v>
      </c>
      <c r="B13" s="26" t="s">
        <v>72</v>
      </c>
      <c r="C13" s="27">
        <v>42867</v>
      </c>
      <c r="D13" s="28" t="str">
        <f>HYPERLINK("https://apps.azleg.gov/BillStatus/BillOverview/69578","HB2457")</f>
        <v>HB2457</v>
      </c>
      <c r="E13" s="26" t="s">
        <v>88</v>
      </c>
      <c r="F13" s="1"/>
      <c r="G13" s="1"/>
      <c r="H13" s="8" t="s">
        <v>73</v>
      </c>
      <c r="I13" s="3">
        <v>1</v>
      </c>
      <c r="J13" s="3"/>
      <c r="K13" s="3"/>
      <c r="L13" s="3"/>
      <c r="M13" s="3"/>
      <c r="N13" s="3"/>
      <c r="O13" s="3">
        <v>1</v>
      </c>
      <c r="P13" s="3"/>
      <c r="Q13" s="3"/>
      <c r="R13" s="3"/>
      <c r="S13" s="3"/>
      <c r="T13" s="3"/>
      <c r="U13" s="3"/>
      <c r="V13" s="3"/>
      <c r="W13" s="3"/>
      <c r="X13" s="3"/>
      <c r="Y13" s="3">
        <v>1</v>
      </c>
      <c r="Z13" s="3"/>
      <c r="AA13" s="3"/>
      <c r="AB13" s="3"/>
      <c r="AC13" s="3"/>
      <c r="AD13" s="3"/>
      <c r="AE13" s="3"/>
      <c r="AF13" s="3"/>
    </row>
    <row r="14" spans="1:32" ht="72" x14ac:dyDescent="0.2">
      <c r="A14" s="29" t="s">
        <v>3</v>
      </c>
      <c r="B14" s="26" t="s">
        <v>72</v>
      </c>
      <c r="C14" s="27">
        <v>42815</v>
      </c>
      <c r="D14" s="30" t="str">
        <f>HYPERLINK("https://apps.azleg.gov/BillStatus/BillOverview/68765","HB2248")</f>
        <v>HB2248</v>
      </c>
      <c r="E14" s="29" t="s">
        <v>351</v>
      </c>
      <c r="F14" s="4" t="str">
        <f>HYPERLINK("http://www.havasunews.com/news/new-law-allows-adults-to-attend-vocational-programs/article_25675a2a-297d-11e7-b5ff-73e4db0a53c5.html","Source")</f>
        <v>Source</v>
      </c>
      <c r="G14" s="5"/>
      <c r="H14" s="8" t="s">
        <v>91</v>
      </c>
      <c r="I14" s="5">
        <v>1</v>
      </c>
      <c r="J14" s="5"/>
      <c r="K14" s="5">
        <v>1</v>
      </c>
      <c r="L14" s="5"/>
      <c r="M14" s="5"/>
      <c r="N14" s="5"/>
      <c r="O14" s="5"/>
      <c r="P14" s="5"/>
      <c r="Q14" s="5"/>
      <c r="R14" s="5"/>
      <c r="S14" s="5"/>
      <c r="T14" s="5"/>
      <c r="U14" s="5"/>
      <c r="V14" s="5"/>
      <c r="W14" s="5"/>
      <c r="X14" s="5"/>
      <c r="Y14" s="10">
        <v>1</v>
      </c>
      <c r="Z14" s="3"/>
      <c r="AA14" s="3"/>
      <c r="AB14" s="3"/>
      <c r="AC14" s="3"/>
      <c r="AD14" s="3"/>
      <c r="AE14" s="3"/>
      <c r="AF14" s="3"/>
    </row>
    <row r="15" spans="1:32" ht="156" x14ac:dyDescent="0.2">
      <c r="A15" s="29" t="s">
        <v>3</v>
      </c>
      <c r="B15" s="26" t="s">
        <v>114</v>
      </c>
      <c r="C15" s="27">
        <v>42849</v>
      </c>
      <c r="D15" s="30" t="str">
        <f>HYPERLINK("https://azsbe.az.gov/calendar/board-meeting/monday-april-24-2017-arizona-state-board-education-regular-board-meeting","A-F School Accountability Plan")</f>
        <v>A-F School Accountability Plan</v>
      </c>
      <c r="E15" s="29" t="s">
        <v>350</v>
      </c>
      <c r="F15" s="4" t="str">
        <f>HYPERLINK("http://kjzz.org/content/465217/arizona-board-education-votes-7-2-approve-new-school-grading-system","Source")</f>
        <v>Source</v>
      </c>
      <c r="G15" s="5" t="s">
        <v>86</v>
      </c>
      <c r="H15" s="8" t="s">
        <v>73</v>
      </c>
      <c r="I15" s="5"/>
      <c r="J15" s="5">
        <v>1</v>
      </c>
      <c r="K15" s="5">
        <v>1</v>
      </c>
      <c r="L15" s="5">
        <v>1</v>
      </c>
      <c r="M15" s="5"/>
      <c r="N15" s="5">
        <v>1</v>
      </c>
      <c r="O15" s="5"/>
      <c r="P15" s="5"/>
      <c r="Q15" s="5">
        <v>1</v>
      </c>
      <c r="R15" s="5"/>
      <c r="S15" s="5"/>
      <c r="T15" s="5"/>
      <c r="U15" s="5"/>
      <c r="V15" s="5"/>
      <c r="W15" s="5"/>
      <c r="X15" s="5"/>
      <c r="Y15" s="6"/>
      <c r="Z15" s="3"/>
      <c r="AA15" s="3"/>
      <c r="AB15" s="3"/>
      <c r="AC15" s="3"/>
      <c r="AD15" s="3"/>
      <c r="AE15" s="3"/>
      <c r="AF15" s="3"/>
    </row>
    <row r="16" spans="1:32" ht="24" x14ac:dyDescent="0.2">
      <c r="A16" s="29" t="s">
        <v>4</v>
      </c>
      <c r="B16" s="26" t="s">
        <v>74</v>
      </c>
      <c r="C16" s="27"/>
      <c r="D16" s="30" t="str">
        <f>HYPERLINK("http://www.arkleg.state.ar.us/assembly/2017/2017R/Documents/2017R%20Summary%20of%20Fiscal%20Legislation.pdf","FY 18-19 Budget")</f>
        <v>FY 18-19 Budget</v>
      </c>
      <c r="E16" s="26" t="s">
        <v>93</v>
      </c>
      <c r="F16" s="9" t="str">
        <f>HYPERLINK("http://www.arkansasonline.com/news/2016/nov/01/10m-pitched-if-higher-ed-s-results-not-/?f=news-arkansas#/","Source")</f>
        <v>Source</v>
      </c>
      <c r="G16" s="5"/>
      <c r="H16" s="8" t="s">
        <v>76</v>
      </c>
      <c r="I16" s="5">
        <v>1</v>
      </c>
      <c r="J16" s="5"/>
      <c r="K16" s="5"/>
      <c r="L16" s="5"/>
      <c r="M16" s="5"/>
      <c r="N16" s="5"/>
      <c r="O16" s="5"/>
      <c r="P16" s="5"/>
      <c r="Q16" s="5"/>
      <c r="R16" s="5"/>
      <c r="S16" s="5"/>
      <c r="T16" s="5"/>
      <c r="U16" s="5"/>
      <c r="V16" s="5"/>
      <c r="W16" s="5"/>
      <c r="X16" s="5"/>
      <c r="Y16" s="6"/>
      <c r="Z16" s="3"/>
      <c r="AA16" s="3"/>
      <c r="AB16" s="3"/>
      <c r="AC16" s="3"/>
      <c r="AD16" s="3"/>
      <c r="AE16" s="3"/>
      <c r="AF16" s="3"/>
    </row>
    <row r="17" spans="1:32" ht="36" x14ac:dyDescent="0.2">
      <c r="A17" s="29" t="s">
        <v>4</v>
      </c>
      <c r="B17" s="26" t="s">
        <v>114</v>
      </c>
      <c r="C17" s="27"/>
      <c r="D17" s="30" t="str">
        <f>HYPERLINK("http://www.arkansased.gov/public/userfiles/ESEA/Arkansas_ESSA_Plan_Final_September_15_2017.pdf","Arkansas' State Plan")</f>
        <v>Arkansas' State Plan</v>
      </c>
      <c r="E17" s="26" t="s">
        <v>352</v>
      </c>
      <c r="F17" s="5"/>
      <c r="G17" s="5" t="s">
        <v>86</v>
      </c>
      <c r="H17" s="8" t="s">
        <v>73</v>
      </c>
      <c r="I17" s="5"/>
      <c r="J17" s="5">
        <v>1</v>
      </c>
      <c r="K17" s="5">
        <v>1</v>
      </c>
      <c r="L17" s="5">
        <v>1</v>
      </c>
      <c r="M17" s="5"/>
      <c r="N17" s="5">
        <v>1</v>
      </c>
      <c r="O17" s="5"/>
      <c r="P17" s="5"/>
      <c r="Q17" s="5">
        <v>1</v>
      </c>
      <c r="R17" s="5"/>
      <c r="S17" s="5"/>
      <c r="T17" s="5"/>
      <c r="U17" s="5"/>
      <c r="V17" s="5"/>
      <c r="W17" s="5"/>
      <c r="X17" s="5"/>
      <c r="Y17" s="6"/>
      <c r="Z17" s="3"/>
      <c r="AA17" s="3"/>
      <c r="AB17" s="3"/>
      <c r="AC17" s="3"/>
      <c r="AD17" s="3"/>
      <c r="AE17" s="3"/>
      <c r="AF17" s="3"/>
    </row>
    <row r="18" spans="1:32" ht="36" x14ac:dyDescent="0.2">
      <c r="A18" s="29" t="s">
        <v>4</v>
      </c>
      <c r="B18" s="26" t="s">
        <v>72</v>
      </c>
      <c r="C18" s="27">
        <v>42810</v>
      </c>
      <c r="D18" s="28" t="str">
        <f>HYPERLINK("http://www.arkleg.state.ar.us/assembly/2017/2017R/Pages/BillInformation.aspx?measureno=SB288","SB288")</f>
        <v>SB288</v>
      </c>
      <c r="E18" s="29" t="s">
        <v>258</v>
      </c>
      <c r="F18" s="21" t="str">
        <f>HYPERLINK("http://www.nwaonline.com/news/2017/feb/27/bills-aim-develop-workforce-nwa/?news-arkansas-nwa","Source")</f>
        <v>Source</v>
      </c>
      <c r="G18" s="1"/>
      <c r="H18" s="8" t="s">
        <v>75</v>
      </c>
      <c r="I18" s="3">
        <v>1</v>
      </c>
      <c r="J18" s="3"/>
      <c r="K18" s="3"/>
      <c r="L18" s="3"/>
      <c r="M18" s="3"/>
      <c r="N18" s="3"/>
      <c r="O18" s="3"/>
      <c r="P18" s="3"/>
      <c r="Q18" s="3"/>
      <c r="R18" s="3"/>
      <c r="S18" s="3"/>
      <c r="T18" s="3">
        <v>1</v>
      </c>
      <c r="U18" s="3"/>
      <c r="V18" s="3"/>
      <c r="W18" s="3"/>
      <c r="X18" s="3"/>
      <c r="Y18" s="3"/>
      <c r="Z18" s="3"/>
      <c r="AA18" s="3"/>
      <c r="AB18" s="3"/>
      <c r="AC18" s="3"/>
      <c r="AD18" s="3"/>
      <c r="AE18" s="3"/>
      <c r="AF18" s="3"/>
    </row>
    <row r="19" spans="1:32" ht="60" x14ac:dyDescent="0.2">
      <c r="A19" s="29" t="s">
        <v>4</v>
      </c>
      <c r="B19" s="26" t="s">
        <v>72</v>
      </c>
      <c r="C19" s="27">
        <v>42830</v>
      </c>
      <c r="D19" s="28" t="str">
        <f>HYPERLINK("http://www.arkleg.state.ar.us/assembly/2017/2017R/Pages/BillInformation.aspx?measureno=SB441","S441")</f>
        <v>S441</v>
      </c>
      <c r="E19" s="29" t="s">
        <v>259</v>
      </c>
      <c r="F19" s="21" t="str">
        <f>HYPERLINK("http://www.nationalskillscoalition.org/resources/publications/file/2017-Legislative-Roundup.pdf","Source")</f>
        <v>Source</v>
      </c>
      <c r="G19" s="1"/>
      <c r="H19" s="8" t="s">
        <v>75</v>
      </c>
      <c r="I19" s="3"/>
      <c r="J19" s="3"/>
      <c r="K19" s="3"/>
      <c r="L19" s="3"/>
      <c r="M19" s="3"/>
      <c r="N19" s="3">
        <v>1</v>
      </c>
      <c r="O19" s="3"/>
      <c r="P19" s="3"/>
      <c r="Q19" s="3"/>
      <c r="R19" s="3"/>
      <c r="S19" s="3"/>
      <c r="T19" s="3">
        <v>1</v>
      </c>
      <c r="U19" s="3"/>
      <c r="V19" s="3"/>
      <c r="W19" s="3"/>
      <c r="X19" s="3"/>
      <c r="Y19" s="3"/>
      <c r="Z19" s="3"/>
      <c r="AA19" s="3"/>
      <c r="AB19" s="3"/>
      <c r="AC19" s="3"/>
      <c r="AD19" s="3"/>
      <c r="AE19" s="3"/>
      <c r="AF19" s="3"/>
    </row>
    <row r="20" spans="1:32" ht="96" x14ac:dyDescent="0.2">
      <c r="A20" s="29" t="s">
        <v>4</v>
      </c>
      <c r="B20" s="26" t="s">
        <v>72</v>
      </c>
      <c r="C20" s="27">
        <v>42774</v>
      </c>
      <c r="D20" s="28" t="str">
        <f>HYPERLINK("http://www.arkleg.state.ar.us/assembly/2017/2017R/Pages/BillInformation.aspx?measureno=HB1209","HB1209")</f>
        <v>HB1209</v>
      </c>
      <c r="E20" s="29" t="s">
        <v>260</v>
      </c>
      <c r="F20" s="21" t="str">
        <f>HYPERLINK("http://www.swtimes.com/news/20170207/bill-to-redo-arkansas-higher-education-funding-goes-to-governor","Source")</f>
        <v>Source</v>
      </c>
      <c r="G20" s="1"/>
      <c r="H20" s="8" t="s">
        <v>76</v>
      </c>
      <c r="I20" s="3">
        <v>1</v>
      </c>
      <c r="J20" s="3"/>
      <c r="K20" s="3"/>
      <c r="L20" s="3"/>
      <c r="M20" s="3"/>
      <c r="N20" s="3">
        <v>1</v>
      </c>
      <c r="O20" s="3"/>
      <c r="P20" s="3"/>
      <c r="Q20" s="3"/>
      <c r="R20" s="3"/>
      <c r="S20" s="3"/>
      <c r="T20" s="3"/>
      <c r="U20" s="3"/>
      <c r="V20" s="3"/>
      <c r="W20" s="3"/>
      <c r="X20" s="3"/>
      <c r="Y20" s="3"/>
      <c r="Z20" s="3"/>
      <c r="AA20" s="3"/>
      <c r="AB20" s="3"/>
      <c r="AC20" s="3"/>
      <c r="AD20" s="3"/>
      <c r="AE20" s="3"/>
      <c r="AF20" s="3"/>
    </row>
    <row r="21" spans="1:32" ht="84" x14ac:dyDescent="0.2">
      <c r="A21" s="29" t="s">
        <v>4</v>
      </c>
      <c r="B21" s="26" t="s">
        <v>72</v>
      </c>
      <c r="C21" s="31">
        <v>42796</v>
      </c>
      <c r="D21" s="28" t="str">
        <f>HYPERLINK("http://www.arkleg.state.ar.us/assembly/2017/2017R/Pages/BillInformation.aspx?measureno=HB1426","HB1426")</f>
        <v>HB1426</v>
      </c>
      <c r="E21" s="29" t="s">
        <v>261</v>
      </c>
      <c r="F21" s="21" t="str">
        <f>HYPERLINK("http://www.arkansasonline.com/news/2017/mar/03/tuition-grants-bill-now-a-law-20170303-1/?f=news-politics-legislature","Source")</f>
        <v>Source</v>
      </c>
      <c r="G21" s="1"/>
      <c r="H21" s="8" t="s">
        <v>76</v>
      </c>
      <c r="I21" s="3">
        <v>1</v>
      </c>
      <c r="J21" s="3"/>
      <c r="K21" s="3"/>
      <c r="L21" s="3"/>
      <c r="M21" s="3"/>
      <c r="N21" s="3"/>
      <c r="O21" s="3">
        <v>1</v>
      </c>
      <c r="P21" s="3"/>
      <c r="Q21" s="3"/>
      <c r="R21" s="3"/>
      <c r="S21" s="3">
        <v>1</v>
      </c>
      <c r="T21" s="3"/>
      <c r="U21" s="3"/>
      <c r="V21" s="3"/>
      <c r="W21" s="3"/>
      <c r="X21" s="3"/>
      <c r="Y21" s="3"/>
      <c r="Z21" s="3"/>
      <c r="AA21" s="3"/>
      <c r="AB21" s="3"/>
      <c r="AC21" s="3"/>
      <c r="AD21" s="3"/>
      <c r="AE21" s="3"/>
      <c r="AF21" s="3"/>
    </row>
    <row r="22" spans="1:32" ht="48" x14ac:dyDescent="0.2">
      <c r="A22" s="29" t="s">
        <v>4</v>
      </c>
      <c r="B22" s="26" t="s">
        <v>72</v>
      </c>
      <c r="C22" s="31">
        <v>42817</v>
      </c>
      <c r="D22" s="28" t="str">
        <f>HYPERLINK("http://www.arkleg.state.ar.us/assembly/2017/2017R/Pages/BillInformation.aspx?measureno=SB528","SB528")</f>
        <v>SB528</v>
      </c>
      <c r="E22" s="26" t="s">
        <v>92</v>
      </c>
      <c r="F22" s="21" t="str">
        <f>HYPERLINK("http://www.nationalskillscoalition.org/resources/publications/file/2017-Legislative-Roundup.pdf","Source")</f>
        <v>Source</v>
      </c>
      <c r="G22" s="1"/>
      <c r="H22" s="8" t="s">
        <v>76</v>
      </c>
      <c r="I22" s="3">
        <v>1</v>
      </c>
      <c r="J22" s="3"/>
      <c r="K22" s="3"/>
      <c r="L22" s="3"/>
      <c r="M22" s="3"/>
      <c r="N22" s="3"/>
      <c r="O22" s="3"/>
      <c r="P22" s="3"/>
      <c r="Q22" s="3"/>
      <c r="R22" s="3"/>
      <c r="S22" s="3"/>
      <c r="T22" s="3"/>
      <c r="U22" s="3"/>
      <c r="V22" s="3"/>
      <c r="W22" s="3"/>
      <c r="X22" s="3"/>
      <c r="Y22" s="3"/>
      <c r="Z22" s="3"/>
      <c r="AA22" s="3"/>
      <c r="AB22" s="3"/>
      <c r="AC22" s="3"/>
      <c r="AD22" s="3"/>
      <c r="AE22" s="3"/>
      <c r="AF22" s="3"/>
    </row>
    <row r="23" spans="1:32" ht="24" x14ac:dyDescent="0.2">
      <c r="A23" s="29" t="s">
        <v>4</v>
      </c>
      <c r="B23" s="26" t="s">
        <v>72</v>
      </c>
      <c r="C23" s="27">
        <v>42815</v>
      </c>
      <c r="D23" s="28" t="str">
        <f>HYPERLINK("http://www.arkleg.state.ar.us/assembly/2017/2017R/Pages/BillInformation.aspx?measureno=SB423","SB423")</f>
        <v>SB423</v>
      </c>
      <c r="E23" s="26" t="s">
        <v>94</v>
      </c>
      <c r="F23" s="21" t="str">
        <f>HYPERLINK("http://www.arkansasonline.com/news/2017/feb/27/northwest-arkansas-districts-pursue-abi-1/?f=news-arkansas","Source")</f>
        <v>Source</v>
      </c>
      <c r="G23" s="1"/>
      <c r="H23" s="8" t="s">
        <v>73</v>
      </c>
      <c r="I23" s="3"/>
      <c r="J23" s="3"/>
      <c r="K23" s="3"/>
      <c r="L23" s="3">
        <v>1</v>
      </c>
      <c r="M23" s="3"/>
      <c r="N23" s="3"/>
      <c r="O23" s="3"/>
      <c r="P23" s="3"/>
      <c r="Q23" s="3">
        <v>1</v>
      </c>
      <c r="R23" s="3"/>
      <c r="S23" s="3"/>
      <c r="T23" s="3"/>
      <c r="U23" s="3"/>
      <c r="V23" s="3"/>
      <c r="W23" s="3"/>
      <c r="X23" s="3"/>
      <c r="Y23" s="3"/>
      <c r="Z23" s="3"/>
      <c r="AA23" s="3"/>
      <c r="AB23" s="3"/>
      <c r="AC23" s="3"/>
      <c r="AD23" s="3"/>
      <c r="AE23" s="3"/>
      <c r="AF23" s="3"/>
    </row>
    <row r="24" spans="1:32" ht="96" x14ac:dyDescent="0.2">
      <c r="A24" s="29" t="s">
        <v>4</v>
      </c>
      <c r="B24" s="26" t="s">
        <v>72</v>
      </c>
      <c r="C24" s="27">
        <v>42831</v>
      </c>
      <c r="D24" s="28" t="str">
        <f>HYPERLINK("http://www.arkleg.state.ar.us/assembly/2017/2017R/Pages/BillInformation.aspx?measureno=sb647","SB647")</f>
        <v>SB647</v>
      </c>
      <c r="E24" s="26" t="s">
        <v>95</v>
      </c>
      <c r="F24" s="21" t="str">
        <f>HYPERLINK("http://www.arkansasonline.com/news/2017/aug/06/plan-for-every-kid-now-aim-of-exams-201-1/?f=news-arkansas","Source")</f>
        <v>Source</v>
      </c>
      <c r="G24" s="1" t="s">
        <v>86</v>
      </c>
      <c r="H24" s="8" t="s">
        <v>73</v>
      </c>
      <c r="I24" s="3"/>
      <c r="J24" s="3"/>
      <c r="K24" s="3"/>
      <c r="L24" s="3">
        <v>1</v>
      </c>
      <c r="M24" s="3"/>
      <c r="N24" s="3"/>
      <c r="O24" s="3"/>
      <c r="P24" s="3"/>
      <c r="Q24" s="3"/>
      <c r="R24" s="3"/>
      <c r="S24" s="3">
        <v>1</v>
      </c>
      <c r="T24" s="3"/>
      <c r="U24" s="3"/>
      <c r="V24" s="3"/>
      <c r="W24" s="3"/>
      <c r="X24" s="3"/>
      <c r="Y24" s="3"/>
      <c r="Z24" s="3"/>
      <c r="AA24" s="3"/>
      <c r="AB24" s="3"/>
      <c r="AC24" s="3"/>
      <c r="AD24" s="3"/>
      <c r="AE24" s="3"/>
      <c r="AF24" s="3"/>
    </row>
    <row r="25" spans="1:32" ht="48" x14ac:dyDescent="0.2">
      <c r="A25" s="29" t="s">
        <v>4</v>
      </c>
      <c r="B25" s="26" t="s">
        <v>72</v>
      </c>
      <c r="C25" s="27">
        <v>42832</v>
      </c>
      <c r="D25" s="28" t="str">
        <f>HYPERLINK("http://www.arkleg.state.ar.us/assembly/2017/2017R/Pages/BillInformation.aspx?measureno=SB505","SB505")</f>
        <v>SB505</v>
      </c>
      <c r="E25" s="29" t="s">
        <v>262</v>
      </c>
      <c r="F25" s="21" t="str">
        <f>HYPERLINK("http://www.nationalskillscoalition.org/resources/publications/file/2017-Legislative-Roundup.pdf","Source")</f>
        <v>Source</v>
      </c>
      <c r="G25" s="1"/>
      <c r="H25" s="8" t="s">
        <v>79</v>
      </c>
      <c r="I25" s="3">
        <v>1</v>
      </c>
      <c r="J25" s="3">
        <v>1</v>
      </c>
      <c r="K25" s="3"/>
      <c r="L25" s="3"/>
      <c r="M25" s="3"/>
      <c r="N25" s="3"/>
      <c r="O25" s="3"/>
      <c r="P25" s="3"/>
      <c r="Q25" s="3"/>
      <c r="R25" s="3"/>
      <c r="S25" s="3"/>
      <c r="T25" s="3"/>
      <c r="U25" s="3"/>
      <c r="V25" s="3"/>
      <c r="W25" s="3"/>
      <c r="X25" s="3"/>
      <c r="Y25" s="3"/>
      <c r="Z25" s="3"/>
      <c r="AA25" s="3"/>
      <c r="AB25" s="3"/>
      <c r="AC25" s="3"/>
      <c r="AD25" s="3"/>
      <c r="AE25" s="3"/>
      <c r="AF25" s="3"/>
    </row>
    <row r="26" spans="1:32" ht="96" x14ac:dyDescent="0.2">
      <c r="A26" s="29" t="s">
        <v>4</v>
      </c>
      <c r="B26" s="26" t="s">
        <v>72</v>
      </c>
      <c r="C26" s="27">
        <v>42821</v>
      </c>
      <c r="D26" s="28" t="str">
        <f>HYPERLINK("http://www.arkleg.state.ar.us/assembly/2017/2017R/Pages/BillInformation.aspx?measureno=HB1369","HB1369")</f>
        <v>HB1369</v>
      </c>
      <c r="E26" s="29" t="s">
        <v>353</v>
      </c>
      <c r="F26" s="1"/>
      <c r="G26" s="1"/>
      <c r="H26" s="43"/>
      <c r="I26" s="3">
        <v>1</v>
      </c>
      <c r="J26" s="3"/>
      <c r="K26" s="3"/>
      <c r="L26" s="3"/>
      <c r="M26" s="3"/>
      <c r="N26" s="3"/>
      <c r="O26" s="3"/>
      <c r="P26" s="3"/>
      <c r="Q26" s="3"/>
      <c r="R26" s="3"/>
      <c r="S26" s="3"/>
      <c r="T26" s="3"/>
      <c r="U26" s="3"/>
      <c r="V26" s="3"/>
      <c r="W26" s="3"/>
      <c r="X26" s="3"/>
      <c r="Y26" s="3"/>
      <c r="Z26" s="3"/>
      <c r="AA26" s="3"/>
      <c r="AB26" s="3"/>
      <c r="AC26" s="3"/>
      <c r="AD26" s="3"/>
      <c r="AE26" s="3"/>
      <c r="AF26" s="3"/>
    </row>
    <row r="27" spans="1:32" ht="108" x14ac:dyDescent="0.2">
      <c r="A27" s="29" t="s">
        <v>5</v>
      </c>
      <c r="B27" s="26" t="s">
        <v>74</v>
      </c>
      <c r="C27" s="31">
        <v>42913</v>
      </c>
      <c r="D27" s="28" t="str">
        <f>HYPERLINK("http://www.ebudget.ca.gov/2017-18/pdf/Enacted/BudgetSummary/FullBudgetSummary.pdf","FY17-18 Budget")</f>
        <v>FY17-18 Budget</v>
      </c>
      <c r="E27" s="29" t="s">
        <v>263</v>
      </c>
      <c r="F27" s="21" t="str">
        <f>HYPERLINK("https://edsource.org/2017/governor-proposes-minimal-increase-for-k-12-schools-next-year/575164?utm_source=Jan.+11+digest+-+Theresa&amp;utm_campaign=Daily+email&amp;utm_medium=email","Source")</f>
        <v>Source</v>
      </c>
      <c r="G27" s="1"/>
      <c r="H27" s="8" t="s">
        <v>76</v>
      </c>
      <c r="I27" s="3">
        <v>1</v>
      </c>
      <c r="J27" s="3">
        <v>1</v>
      </c>
      <c r="K27" s="3"/>
      <c r="L27" s="3"/>
      <c r="M27" s="3"/>
      <c r="N27" s="3"/>
      <c r="O27" s="3"/>
      <c r="P27" s="3"/>
      <c r="Q27" s="3"/>
      <c r="R27" s="3">
        <v>1</v>
      </c>
      <c r="S27" s="3">
        <v>1</v>
      </c>
      <c r="T27" s="3"/>
      <c r="U27" s="3"/>
      <c r="V27" s="3"/>
      <c r="W27" s="3">
        <v>1</v>
      </c>
      <c r="X27" s="3"/>
      <c r="Y27" s="3"/>
      <c r="Z27" s="3"/>
      <c r="AA27" s="3"/>
      <c r="AB27" s="3"/>
      <c r="AC27" s="3"/>
      <c r="AD27" s="3"/>
      <c r="AE27" s="3"/>
      <c r="AF27" s="3"/>
    </row>
    <row r="28" spans="1:32" ht="24" x14ac:dyDescent="0.2">
      <c r="A28" s="29" t="s">
        <v>5</v>
      </c>
      <c r="B28" s="26" t="s">
        <v>114</v>
      </c>
      <c r="C28" s="27"/>
      <c r="D28" s="28" t="s">
        <v>243</v>
      </c>
      <c r="E28" s="26" t="s">
        <v>244</v>
      </c>
      <c r="F28" s="1"/>
      <c r="G28" s="1" t="s">
        <v>86</v>
      </c>
      <c r="H28" s="8" t="s">
        <v>73</v>
      </c>
      <c r="I28" s="3"/>
      <c r="J28" s="3"/>
      <c r="K28" s="3">
        <v>1</v>
      </c>
      <c r="L28" s="3"/>
      <c r="M28" s="3"/>
      <c r="N28" s="3">
        <v>1</v>
      </c>
      <c r="O28" s="3"/>
      <c r="P28" s="3"/>
      <c r="Q28" s="3"/>
      <c r="R28" s="3"/>
      <c r="S28" s="3"/>
      <c r="T28" s="3"/>
      <c r="U28" s="3"/>
      <c r="V28" s="3"/>
      <c r="W28" s="3"/>
      <c r="X28" s="3"/>
      <c r="Y28" s="3"/>
      <c r="Z28" s="3"/>
      <c r="AA28" s="3"/>
      <c r="AB28" s="3"/>
      <c r="AC28" s="3"/>
      <c r="AD28" s="3"/>
      <c r="AE28" s="3"/>
      <c r="AF28" s="3"/>
    </row>
    <row r="29" spans="1:32" ht="48" x14ac:dyDescent="0.2">
      <c r="A29" s="29" t="s">
        <v>5</v>
      </c>
      <c r="B29" s="26" t="s">
        <v>72</v>
      </c>
      <c r="C29" s="27">
        <v>42979</v>
      </c>
      <c r="D29" s="28" t="str">
        <f>HYPERLINK("http://leginfo.legislature.ca.gov/faces/billTextClient.xhtml?bill_id=201720180AB1336","AB1336")</f>
        <v>AB1336</v>
      </c>
      <c r="E29" s="26" t="s">
        <v>354</v>
      </c>
      <c r="F29" s="1"/>
      <c r="G29" s="1"/>
      <c r="H29" s="8" t="s">
        <v>75</v>
      </c>
      <c r="I29" s="3"/>
      <c r="J29" s="3"/>
      <c r="K29" s="3"/>
      <c r="L29" s="3"/>
      <c r="M29" s="3"/>
      <c r="N29" s="3">
        <v>1</v>
      </c>
      <c r="O29" s="3"/>
      <c r="P29" s="3"/>
      <c r="Q29" s="3"/>
      <c r="R29" s="3"/>
      <c r="S29" s="3"/>
      <c r="T29" s="3"/>
      <c r="U29" s="3"/>
      <c r="V29" s="3"/>
      <c r="W29" s="3"/>
      <c r="X29" s="3"/>
      <c r="Y29" s="3"/>
      <c r="Z29" s="3"/>
      <c r="AA29" s="3"/>
      <c r="AB29" s="3"/>
      <c r="AC29" s="3"/>
      <c r="AD29" s="3"/>
      <c r="AE29" s="3"/>
      <c r="AF29" s="3"/>
    </row>
    <row r="30" spans="1:32" ht="36" x14ac:dyDescent="0.2">
      <c r="A30" s="29" t="s">
        <v>5</v>
      </c>
      <c r="B30" s="26" t="s">
        <v>72</v>
      </c>
      <c r="C30" s="27">
        <v>43021</v>
      </c>
      <c r="D30" s="28" t="str">
        <f>HYPERLINK("http://leginfo.legislature.ca.gov/faces/billStatusClient.xhtml?bill_id=201720180AB19","AB19")</f>
        <v>AB19</v>
      </c>
      <c r="E30" s="29" t="s">
        <v>264</v>
      </c>
      <c r="F30" s="21" t="str">
        <f>HYPERLINK("http://www.sacbee.com/news/politics-government/capitol-alert/article173204371.html","Source")</f>
        <v>Source</v>
      </c>
      <c r="G30" s="1"/>
      <c r="H30" s="8" t="s">
        <v>76</v>
      </c>
      <c r="I30" s="3">
        <v>1</v>
      </c>
      <c r="J30" s="3"/>
      <c r="K30" s="3"/>
      <c r="L30" s="3"/>
      <c r="M30" s="3"/>
      <c r="N30" s="3"/>
      <c r="O30" s="3"/>
      <c r="P30" s="3"/>
      <c r="Q30" s="3"/>
      <c r="R30" s="3"/>
      <c r="S30" s="3"/>
      <c r="T30" s="3"/>
      <c r="U30" s="3"/>
      <c r="V30" s="3"/>
      <c r="W30" s="3"/>
      <c r="X30" s="3"/>
      <c r="Y30" s="3"/>
      <c r="Z30" s="5"/>
      <c r="AA30" s="5"/>
      <c r="AB30" s="5"/>
      <c r="AC30" s="5"/>
      <c r="AD30" s="5"/>
      <c r="AE30" s="5"/>
      <c r="AF30" s="5"/>
    </row>
    <row r="31" spans="1:32" ht="36" x14ac:dyDescent="0.2">
      <c r="A31" s="29" t="s">
        <v>5</v>
      </c>
      <c r="B31" s="26" t="s">
        <v>72</v>
      </c>
      <c r="C31" s="27">
        <v>42941</v>
      </c>
      <c r="D31" s="28" t="str">
        <f>HYPERLINK("http://leginfo.legislature.ca.gov/faces/billStatusClient.xhtml?bill_id=201720180AB398","AB398")</f>
        <v>AB398</v>
      </c>
      <c r="E31" s="29" t="s">
        <v>265</v>
      </c>
      <c r="F31" s="1"/>
      <c r="G31" s="1"/>
      <c r="H31" s="8" t="s">
        <v>80</v>
      </c>
      <c r="I31" s="3"/>
      <c r="J31" s="3"/>
      <c r="K31" s="3"/>
      <c r="L31" s="3"/>
      <c r="M31" s="3"/>
      <c r="N31" s="3">
        <v>1</v>
      </c>
      <c r="O31" s="3"/>
      <c r="P31" s="3"/>
      <c r="Q31" s="3"/>
      <c r="R31" s="3"/>
      <c r="S31" s="3"/>
      <c r="T31" s="3"/>
      <c r="U31" s="3"/>
      <c r="V31" s="3"/>
      <c r="W31" s="3"/>
      <c r="X31" s="3"/>
      <c r="Y31" s="3"/>
      <c r="Z31" s="5"/>
      <c r="AA31" s="5"/>
      <c r="AB31" s="5"/>
      <c r="AC31" s="5"/>
      <c r="AD31" s="5"/>
      <c r="AE31" s="5"/>
      <c r="AF31" s="5"/>
    </row>
    <row r="32" spans="1:32" ht="60" x14ac:dyDescent="0.2">
      <c r="A32" s="29" t="s">
        <v>6</v>
      </c>
      <c r="B32" s="26" t="s">
        <v>72</v>
      </c>
      <c r="C32" s="27">
        <v>42873</v>
      </c>
      <c r="D32" s="28" t="str">
        <f>HYPERLINK("http://leg.colorado.gov/bills/sb17-297","SB297")</f>
        <v>SB297</v>
      </c>
      <c r="E32" s="26" t="s">
        <v>97</v>
      </c>
      <c r="F32" s="1"/>
      <c r="G32" s="1"/>
      <c r="H32" s="8" t="s">
        <v>76</v>
      </c>
      <c r="I32" s="3">
        <v>1</v>
      </c>
      <c r="J32" s="3"/>
      <c r="K32" s="3"/>
      <c r="L32" s="3"/>
      <c r="M32" s="3"/>
      <c r="N32" s="3"/>
      <c r="O32" s="3"/>
      <c r="P32" s="3">
        <v>1</v>
      </c>
      <c r="Q32" s="3"/>
      <c r="R32" s="3"/>
      <c r="S32" s="3"/>
      <c r="T32" s="3">
        <v>1</v>
      </c>
      <c r="U32" s="3"/>
      <c r="V32" s="3"/>
      <c r="W32" s="3"/>
      <c r="X32" s="3"/>
      <c r="Y32" s="3"/>
      <c r="Z32" s="3"/>
      <c r="AA32" s="3"/>
      <c r="AB32" s="3"/>
      <c r="AC32" s="3"/>
      <c r="AD32" s="3"/>
      <c r="AE32" s="3"/>
      <c r="AF32" s="3"/>
    </row>
    <row r="33" spans="1:32" ht="36" x14ac:dyDescent="0.2">
      <c r="A33" s="29" t="s">
        <v>6</v>
      </c>
      <c r="B33" s="26" t="s">
        <v>72</v>
      </c>
      <c r="C33" s="27">
        <v>42814</v>
      </c>
      <c r="D33" s="28" t="str">
        <f>HYPERLINK("http://leg.colorado.gov/bills/hb17-1041","HB1041")</f>
        <v>HB1041</v>
      </c>
      <c r="E33" s="26" t="s">
        <v>99</v>
      </c>
      <c r="F33" s="21" t="str">
        <f>HYPERLINK("http://www.denverpost.com/2017/08/07/new-law-students-must-be-told-about-skilled-labor-military-careers/","Source")</f>
        <v>Source</v>
      </c>
      <c r="G33" s="1"/>
      <c r="H33" s="8" t="s">
        <v>73</v>
      </c>
      <c r="I33" s="3"/>
      <c r="J33" s="3"/>
      <c r="K33" s="3"/>
      <c r="L33" s="3"/>
      <c r="M33" s="3"/>
      <c r="N33" s="3"/>
      <c r="O33" s="3"/>
      <c r="P33" s="3"/>
      <c r="Q33" s="3"/>
      <c r="R33" s="3"/>
      <c r="S33" s="3">
        <v>1</v>
      </c>
      <c r="T33" s="3"/>
      <c r="U33" s="3"/>
      <c r="V33" s="3"/>
      <c r="W33" s="3"/>
      <c r="X33" s="3"/>
      <c r="Y33" s="3"/>
      <c r="Z33" s="3"/>
      <c r="AA33" s="3"/>
      <c r="AB33" s="3"/>
      <c r="AC33" s="3"/>
      <c r="AD33" s="3"/>
      <c r="AE33" s="3"/>
      <c r="AF33" s="3"/>
    </row>
    <row r="34" spans="1:32" ht="48" x14ac:dyDescent="0.2">
      <c r="A34" s="29" t="s">
        <v>6</v>
      </c>
      <c r="B34" s="26" t="s">
        <v>72</v>
      </c>
      <c r="C34" s="27">
        <v>42838</v>
      </c>
      <c r="D34" s="28" t="str">
        <f>HYPERLINK("https://leg.colorado.gov/bills/hb17-1184","HB1184")</f>
        <v>HB1184</v>
      </c>
      <c r="E34" s="26" t="s">
        <v>100</v>
      </c>
      <c r="F34" s="21" t="str">
        <f>HYPERLINK("http://www.chalkbeat.org/posts/co/2017/02/24/colorado-lawmakers-are-stepping-in-to-help-prepare-students-for-the-states-booming-tech-sector/","Source")</f>
        <v>Source</v>
      </c>
      <c r="G34" s="1"/>
      <c r="H34" s="8" t="s">
        <v>73</v>
      </c>
      <c r="I34" s="3">
        <v>1</v>
      </c>
      <c r="J34" s="3"/>
      <c r="K34" s="3"/>
      <c r="L34" s="3"/>
      <c r="M34" s="3"/>
      <c r="N34" s="3"/>
      <c r="O34" s="3"/>
      <c r="P34" s="3">
        <v>1</v>
      </c>
      <c r="Q34" s="3"/>
      <c r="R34" s="3">
        <v>1</v>
      </c>
      <c r="S34" s="3"/>
      <c r="T34" s="3"/>
      <c r="U34" s="3"/>
      <c r="V34" s="3"/>
      <c r="W34" s="3"/>
      <c r="X34" s="3"/>
      <c r="Y34" s="3"/>
      <c r="Z34" s="3"/>
      <c r="AA34" s="3"/>
      <c r="AB34" s="3"/>
      <c r="AC34" s="3"/>
      <c r="AD34" s="3"/>
      <c r="AE34" s="3"/>
      <c r="AF34" s="3"/>
    </row>
    <row r="35" spans="1:32" ht="24" x14ac:dyDescent="0.2">
      <c r="A35" s="29" t="s">
        <v>6</v>
      </c>
      <c r="B35" s="26" t="s">
        <v>72</v>
      </c>
      <c r="C35" s="27">
        <v>42873</v>
      </c>
      <c r="D35" s="28" t="str">
        <f>HYPERLINK("http://leg.colorado.gov/bills/hb17-1201","HB1201")</f>
        <v>HB1201</v>
      </c>
      <c r="E35" s="26" t="s">
        <v>101</v>
      </c>
      <c r="F35" s="21" t="str">
        <f>HYPERLINK("http://www.chalkbeat.org/posts/co/2017/02/24/colorado-lawmakers-are-stepping-in-to-help-prepare-students-for-the-states-booming-tech-sector/","Source")</f>
        <v>Source</v>
      </c>
      <c r="G35" s="1"/>
      <c r="H35" s="8" t="s">
        <v>73</v>
      </c>
      <c r="I35" s="3"/>
      <c r="J35" s="3"/>
      <c r="K35" s="3"/>
      <c r="L35" s="3"/>
      <c r="M35" s="3">
        <v>1</v>
      </c>
      <c r="N35" s="3"/>
      <c r="O35" s="3">
        <v>1</v>
      </c>
      <c r="P35" s="3"/>
      <c r="Q35" s="3"/>
      <c r="R35" s="3"/>
      <c r="S35" s="3"/>
      <c r="T35" s="3"/>
      <c r="U35" s="3"/>
      <c r="V35" s="3"/>
      <c r="W35" s="3"/>
      <c r="X35" s="3"/>
      <c r="Y35" s="3"/>
      <c r="Z35" s="3"/>
      <c r="AA35" s="3"/>
      <c r="AB35" s="3"/>
      <c r="AC35" s="3"/>
      <c r="AD35" s="3"/>
      <c r="AE35" s="3"/>
      <c r="AF35" s="3"/>
    </row>
    <row r="36" spans="1:32" ht="36" x14ac:dyDescent="0.2">
      <c r="A36" s="29" t="s">
        <v>6</v>
      </c>
      <c r="B36" s="26" t="s">
        <v>72</v>
      </c>
      <c r="C36" s="27"/>
      <c r="D36" s="28" t="str">
        <f>HYPERLINK("http://leg.colorado.gov/bills/sb17-272","SB272")</f>
        <v>SB272</v>
      </c>
      <c r="E36" s="26" t="s">
        <v>102</v>
      </c>
      <c r="F36" s="1"/>
      <c r="G36" s="1"/>
      <c r="H36" s="8" t="s">
        <v>73</v>
      </c>
      <c r="I36" s="3"/>
      <c r="J36" s="3"/>
      <c r="K36" s="3"/>
      <c r="L36" s="3"/>
      <c r="M36" s="3">
        <v>1</v>
      </c>
      <c r="N36" s="3">
        <v>1</v>
      </c>
      <c r="O36" s="3"/>
      <c r="P36" s="3"/>
      <c r="Q36" s="3"/>
      <c r="R36" s="3"/>
      <c r="S36" s="3"/>
      <c r="T36" s="3"/>
      <c r="U36" s="3"/>
      <c r="V36" s="3"/>
      <c r="W36" s="3"/>
      <c r="X36" s="3"/>
      <c r="Y36" s="3"/>
      <c r="Z36" s="3"/>
      <c r="AA36" s="3"/>
      <c r="AB36" s="3"/>
      <c r="AC36" s="3"/>
      <c r="AD36" s="3"/>
      <c r="AE36" s="3"/>
      <c r="AF36" s="3"/>
    </row>
    <row r="37" spans="1:32" ht="36" x14ac:dyDescent="0.2">
      <c r="A37" s="29" t="s">
        <v>6</v>
      </c>
      <c r="B37" s="26" t="s">
        <v>96</v>
      </c>
      <c r="C37" s="27"/>
      <c r="D37" s="28" t="str">
        <f>HYPERLINK("http://highered.colorado.gov/publications/CDHE-Master-Plan-2017.pdf","Colorado Rises")</f>
        <v>Colorado Rises</v>
      </c>
      <c r="E37" s="26" t="s">
        <v>98</v>
      </c>
      <c r="F37" s="21" t="str">
        <f>HYPERLINK("http://www.denverpost.com/2017/09/12/colorado-post-secondary-higher-education-college-goals-2025/","Source")</f>
        <v>Source</v>
      </c>
      <c r="G37" s="1"/>
      <c r="H37" s="8" t="s">
        <v>76</v>
      </c>
      <c r="I37" s="3"/>
      <c r="J37" s="3"/>
      <c r="K37" s="3"/>
      <c r="L37" s="3">
        <v>1</v>
      </c>
      <c r="M37" s="3"/>
      <c r="N37" s="3"/>
      <c r="O37" s="3"/>
      <c r="P37" s="3"/>
      <c r="Q37" s="3"/>
      <c r="R37" s="3"/>
      <c r="S37" s="3"/>
      <c r="T37" s="3"/>
      <c r="U37" s="3"/>
      <c r="V37" s="3"/>
      <c r="W37" s="3"/>
      <c r="X37" s="3"/>
      <c r="Y37" s="3"/>
      <c r="Z37" s="3"/>
      <c r="AA37" s="3"/>
      <c r="AB37" s="3"/>
      <c r="AC37" s="3"/>
      <c r="AD37" s="3"/>
      <c r="AE37" s="3"/>
      <c r="AF37" s="3"/>
    </row>
    <row r="38" spans="1:32" ht="24" x14ac:dyDescent="0.2">
      <c r="A38" s="29" t="s">
        <v>7</v>
      </c>
      <c r="B38" s="26" t="s">
        <v>114</v>
      </c>
      <c r="C38" s="26"/>
      <c r="D38" s="28" t="str">
        <f>HYPERLINK("http://www.sde.ct.gov/sde/lib/sde/pdf/essa/april_3_ct_consolidated_state_essa_plan1.pdf","CT's state plan")</f>
        <v>CT's state plan</v>
      </c>
      <c r="E38" s="26" t="s">
        <v>104</v>
      </c>
      <c r="F38" s="1"/>
      <c r="G38" s="1" t="s">
        <v>86</v>
      </c>
      <c r="H38" s="8" t="s">
        <v>73</v>
      </c>
      <c r="I38" s="3"/>
      <c r="J38" s="3"/>
      <c r="K38" s="3"/>
      <c r="L38" s="3"/>
      <c r="M38" s="3"/>
      <c r="N38" s="3">
        <v>1</v>
      </c>
      <c r="O38" s="3"/>
      <c r="P38" s="3"/>
      <c r="Q38" s="3"/>
      <c r="R38" s="3"/>
      <c r="S38" s="3"/>
      <c r="T38" s="3"/>
      <c r="U38" s="3"/>
      <c r="V38" s="3"/>
      <c r="W38" s="3"/>
      <c r="X38" s="3"/>
      <c r="Y38" s="3"/>
      <c r="Z38" s="3"/>
      <c r="AA38" s="3"/>
      <c r="AB38" s="3"/>
      <c r="AC38" s="3"/>
      <c r="AD38" s="3"/>
      <c r="AE38" s="3"/>
      <c r="AF38" s="3"/>
    </row>
    <row r="39" spans="1:32" ht="168" x14ac:dyDescent="0.2">
      <c r="A39" s="29" t="s">
        <v>7</v>
      </c>
      <c r="B39" s="26" t="s">
        <v>72</v>
      </c>
      <c r="C39" s="27">
        <v>42927</v>
      </c>
      <c r="D39" s="28" t="str">
        <f>HYPERLINK("https://www.cga.ct.gov/asp/cgabillstatus/cgabillstatus.asp?selBillType=Bill&amp;bill_num=HB-5590","HB5590")</f>
        <v>HB5590</v>
      </c>
      <c r="E39" s="29" t="s">
        <v>355</v>
      </c>
      <c r="F39" s="21" t="str">
        <f>HYPERLINK("http://www.workforcedqc.org/news/blog/ct-bill-codifies-slds-and-standardizes-intake-forms","Source")</f>
        <v>Source</v>
      </c>
      <c r="G39" s="1"/>
      <c r="H39" s="8" t="s">
        <v>75</v>
      </c>
      <c r="I39" s="3">
        <v>1</v>
      </c>
      <c r="J39" s="3">
        <v>1</v>
      </c>
      <c r="K39" s="3">
        <v>1</v>
      </c>
      <c r="L39" s="3"/>
      <c r="M39" s="3"/>
      <c r="N39" s="3">
        <v>1</v>
      </c>
      <c r="O39" s="3"/>
      <c r="P39" s="3"/>
      <c r="Q39" s="3"/>
      <c r="R39" s="3"/>
      <c r="S39" s="3"/>
      <c r="T39" s="3">
        <v>1</v>
      </c>
      <c r="U39" s="3"/>
      <c r="V39" s="3"/>
      <c r="W39" s="3"/>
      <c r="X39" s="3"/>
      <c r="Y39" s="3"/>
      <c r="Z39" s="3"/>
      <c r="AA39" s="3"/>
      <c r="AB39" s="3"/>
      <c r="AC39" s="3"/>
      <c r="AD39" s="3"/>
      <c r="AE39" s="3"/>
      <c r="AF39" s="3"/>
    </row>
    <row r="40" spans="1:32" ht="60" x14ac:dyDescent="0.2">
      <c r="A40" s="29" t="s">
        <v>7</v>
      </c>
      <c r="B40" s="26" t="s">
        <v>72</v>
      </c>
      <c r="C40" s="27">
        <v>42899</v>
      </c>
      <c r="D40" s="28" t="str">
        <f>HYPERLINK("https://www.cga.ct.gov/asp/cgabillstatus/cgabillstatus.asp?selBillType=Bill&amp;bill_num=SB01026&amp;which_year=2017","SB1026")</f>
        <v>SB1026</v>
      </c>
      <c r="E40" s="29" t="s">
        <v>356</v>
      </c>
      <c r="F40" s="21" t="str">
        <f>HYPERLINK("https://patch.com/connecticut/greenwich/these-10-new-ct-laws-could-change-your-life-starting-july-1","Source")</f>
        <v>Source</v>
      </c>
      <c r="G40" s="1"/>
      <c r="H40" s="8" t="s">
        <v>73</v>
      </c>
      <c r="I40" s="3"/>
      <c r="J40" s="3">
        <v>1</v>
      </c>
      <c r="K40" s="3">
        <v>1</v>
      </c>
      <c r="L40" s="3"/>
      <c r="M40" s="3">
        <v>1</v>
      </c>
      <c r="N40" s="3"/>
      <c r="O40" s="3">
        <v>1</v>
      </c>
      <c r="P40" s="3"/>
      <c r="Q40" s="3"/>
      <c r="R40" s="3"/>
      <c r="S40" s="3"/>
      <c r="T40" s="3"/>
      <c r="U40" s="3"/>
      <c r="V40" s="3">
        <v>1</v>
      </c>
      <c r="W40" s="3"/>
      <c r="X40" s="3"/>
      <c r="Y40" s="3"/>
      <c r="Z40" s="3"/>
      <c r="AA40" s="3"/>
      <c r="AB40" s="3"/>
      <c r="AC40" s="3"/>
      <c r="AD40" s="3"/>
      <c r="AE40" s="3"/>
      <c r="AF40" s="3"/>
    </row>
    <row r="41" spans="1:32" ht="36" x14ac:dyDescent="0.2">
      <c r="A41" s="29" t="s">
        <v>7</v>
      </c>
      <c r="B41" s="26" t="s">
        <v>72</v>
      </c>
      <c r="C41" s="31">
        <v>42926</v>
      </c>
      <c r="D41" s="28" t="str">
        <f>HYPERLINK("https://www.cga.ct.gov/asp/cgabillstatus/cgabillstatus.asp?selBillType=Bill&amp;bill_num=HB07271&amp;which_year=2017","HB7271")</f>
        <v>HB7271</v>
      </c>
      <c r="E41" s="26" t="s">
        <v>103</v>
      </c>
      <c r="F41" s="21" t="str">
        <f>HYPERLINK("https://ctmirror.org/2017/06/03/house-backs-measure-to-make-vo-tech-system-its-own-agency/","Source")</f>
        <v>Source</v>
      </c>
      <c r="G41" s="1"/>
      <c r="H41" s="8" t="s">
        <v>73</v>
      </c>
      <c r="I41" s="3"/>
      <c r="J41" s="3"/>
      <c r="K41" s="3"/>
      <c r="L41" s="3"/>
      <c r="M41" s="3"/>
      <c r="N41" s="3"/>
      <c r="O41" s="3"/>
      <c r="P41" s="3"/>
      <c r="Q41" s="3"/>
      <c r="R41" s="3"/>
      <c r="S41" s="3"/>
      <c r="T41" s="3">
        <v>1</v>
      </c>
      <c r="U41" s="3"/>
      <c r="V41" s="3"/>
      <c r="W41" s="3"/>
      <c r="X41" s="3"/>
      <c r="Y41" s="3"/>
      <c r="Z41" s="3"/>
      <c r="AA41" s="3"/>
      <c r="AB41" s="3"/>
      <c r="AC41" s="3"/>
      <c r="AD41" s="3"/>
      <c r="AE41" s="3"/>
      <c r="AF41" s="3"/>
    </row>
    <row r="42" spans="1:32" ht="96" x14ac:dyDescent="0.2">
      <c r="A42" s="29" t="s">
        <v>7</v>
      </c>
      <c r="B42" s="26" t="s">
        <v>72</v>
      </c>
      <c r="C42" s="27"/>
      <c r="D42" s="28" t="str">
        <f>HYPERLINK("https://www.cga.ct.gov/asp/cgabillstatus/cgabillstatus.asp?selBillType=Bill&amp;bill_num=SB01502&amp;which_year=2017","SB1502")</f>
        <v>SB1502</v>
      </c>
      <c r="E42" s="29" t="s">
        <v>357</v>
      </c>
      <c r="F42" s="1"/>
      <c r="G42" s="1"/>
      <c r="H42" s="8" t="s">
        <v>73</v>
      </c>
      <c r="I42" s="3"/>
      <c r="J42" s="3"/>
      <c r="K42" s="3"/>
      <c r="L42" s="3"/>
      <c r="M42" s="3"/>
      <c r="N42" s="3"/>
      <c r="O42" s="3"/>
      <c r="P42" s="3">
        <v>1</v>
      </c>
      <c r="Q42" s="3"/>
      <c r="R42" s="3"/>
      <c r="S42" s="3"/>
      <c r="T42" s="3">
        <v>1</v>
      </c>
      <c r="U42" s="3"/>
      <c r="V42" s="3"/>
      <c r="W42" s="3"/>
      <c r="X42" s="3"/>
      <c r="Y42" s="3"/>
      <c r="Z42" s="3"/>
      <c r="AA42" s="3"/>
      <c r="AB42" s="3"/>
      <c r="AC42" s="3"/>
      <c r="AD42" s="3"/>
      <c r="AE42" s="3"/>
      <c r="AF42" s="3"/>
    </row>
    <row r="43" spans="1:32" ht="36" x14ac:dyDescent="0.2">
      <c r="A43" s="29" t="s">
        <v>9</v>
      </c>
      <c r="B43" s="26" t="s">
        <v>74</v>
      </c>
      <c r="C43" s="27">
        <v>42913</v>
      </c>
      <c r="D43" s="28" t="str">
        <f>HYPERLINK("http://lims.dccouncil.us/Legislation/B22-0244","B22-024")</f>
        <v>B22-024</v>
      </c>
      <c r="E43" s="26" t="s">
        <v>105</v>
      </c>
      <c r="F43" s="1"/>
      <c r="G43" s="1"/>
      <c r="H43" s="8" t="s">
        <v>73</v>
      </c>
      <c r="I43" s="3">
        <v>1</v>
      </c>
      <c r="J43" s="3"/>
      <c r="K43" s="3">
        <v>1</v>
      </c>
      <c r="L43" s="3"/>
      <c r="M43" s="3"/>
      <c r="N43" s="3"/>
      <c r="O43" s="3"/>
      <c r="P43" s="3"/>
      <c r="Q43" s="3"/>
      <c r="R43" s="3"/>
      <c r="S43" s="3"/>
      <c r="T43" s="3"/>
      <c r="U43" s="3"/>
      <c r="V43" s="3"/>
      <c r="W43" s="3"/>
      <c r="X43" s="3"/>
      <c r="Y43" s="3"/>
      <c r="Z43" s="3"/>
      <c r="AA43" s="3"/>
      <c r="AB43" s="3"/>
      <c r="AC43" s="3"/>
      <c r="AD43" s="3"/>
      <c r="AE43" s="3"/>
      <c r="AF43" s="3"/>
    </row>
    <row r="44" spans="1:32" ht="24" x14ac:dyDescent="0.2">
      <c r="A44" s="29" t="s">
        <v>8</v>
      </c>
      <c r="B44" s="26" t="s">
        <v>114</v>
      </c>
      <c r="C44" s="27"/>
      <c r="D44" s="28" t="str">
        <f>HYPERLINK("https://www2.ed.gov/admins/lead/account/stateplan17/decsa2017.pdf","DE's ESSA plan")</f>
        <v>DE's ESSA plan</v>
      </c>
      <c r="E44" s="29" t="s">
        <v>267</v>
      </c>
      <c r="F44" s="1"/>
      <c r="G44" s="1" t="s">
        <v>86</v>
      </c>
      <c r="H44" s="8" t="s">
        <v>73</v>
      </c>
      <c r="I44" s="3"/>
      <c r="J44" s="3">
        <v>1</v>
      </c>
      <c r="K44" s="3">
        <v>1</v>
      </c>
      <c r="L44" s="3">
        <v>1</v>
      </c>
      <c r="M44" s="3"/>
      <c r="N44" s="3">
        <v>1</v>
      </c>
      <c r="O44" s="3"/>
      <c r="P44" s="3"/>
      <c r="Q44" s="3"/>
      <c r="R44" s="3"/>
      <c r="S44" s="3"/>
      <c r="T44" s="3"/>
      <c r="U44" s="3"/>
      <c r="V44" s="3"/>
      <c r="W44" s="3"/>
      <c r="X44" s="3"/>
      <c r="Y44" s="3"/>
      <c r="Z44" s="3"/>
      <c r="AA44" s="3"/>
      <c r="AB44" s="3"/>
      <c r="AC44" s="3"/>
      <c r="AD44" s="3"/>
      <c r="AE44" s="3"/>
      <c r="AF44" s="3"/>
    </row>
    <row r="45" spans="1:32" ht="48" x14ac:dyDescent="0.2">
      <c r="A45" s="29" t="s">
        <v>8</v>
      </c>
      <c r="B45" s="26" t="s">
        <v>72</v>
      </c>
      <c r="C45" s="27">
        <v>43000</v>
      </c>
      <c r="D45" s="28" t="str">
        <f>HYPERLINK("https://legis.delaware.gov/BillDetail/25346","HB15")</f>
        <v>HB15</v>
      </c>
      <c r="E45" s="29" t="s">
        <v>266</v>
      </c>
      <c r="F45" s="21" t="str">
        <f>HYPERLINK("http://delawarestatenews.net/government/proposal-require-high-schools-offer-computer-science/","Source")</f>
        <v>Source</v>
      </c>
      <c r="G45" s="1"/>
      <c r="H45" s="8" t="s">
        <v>73</v>
      </c>
      <c r="I45" s="3"/>
      <c r="J45" s="3"/>
      <c r="K45" s="3"/>
      <c r="L45" s="3"/>
      <c r="M45" s="3">
        <v>1</v>
      </c>
      <c r="N45" s="3"/>
      <c r="O45" s="3"/>
      <c r="P45" s="3">
        <v>1</v>
      </c>
      <c r="Q45" s="3"/>
      <c r="R45" s="3"/>
      <c r="S45" s="3"/>
      <c r="T45" s="3"/>
      <c r="U45" s="3"/>
      <c r="V45" s="3"/>
      <c r="W45" s="3"/>
      <c r="X45" s="3"/>
      <c r="Y45" s="3"/>
      <c r="Z45" s="3"/>
      <c r="AA45" s="3"/>
      <c r="AB45" s="3"/>
      <c r="AC45" s="3"/>
      <c r="AD45" s="3"/>
      <c r="AE45" s="3"/>
      <c r="AF45" s="3"/>
    </row>
    <row r="46" spans="1:32" ht="36" x14ac:dyDescent="0.2">
      <c r="A46" s="29" t="s">
        <v>8</v>
      </c>
      <c r="B46" s="26" t="s">
        <v>72</v>
      </c>
      <c r="C46" s="27">
        <v>42919</v>
      </c>
      <c r="D46" s="28" t="str">
        <f>HYPERLINK("https://budget.delaware.gov/budget/fy2018/documents/hb275-hs1.pdf","HB275")</f>
        <v>HB275</v>
      </c>
      <c r="E46" s="26" t="s">
        <v>106</v>
      </c>
      <c r="F46" s="1"/>
      <c r="G46" s="1"/>
      <c r="H46" s="8" t="s">
        <v>81</v>
      </c>
      <c r="I46" s="3"/>
      <c r="J46" s="3"/>
      <c r="K46" s="3">
        <v>1</v>
      </c>
      <c r="L46" s="3"/>
      <c r="M46" s="3"/>
      <c r="N46" s="3"/>
      <c r="O46" s="3"/>
      <c r="P46" s="3"/>
      <c r="Q46" s="3"/>
      <c r="R46" s="3"/>
      <c r="S46" s="3"/>
      <c r="T46" s="3">
        <v>1</v>
      </c>
      <c r="U46" s="3"/>
      <c r="V46" s="3"/>
      <c r="W46" s="3"/>
      <c r="X46" s="3"/>
      <c r="Y46" s="3"/>
      <c r="Z46" s="3"/>
      <c r="AA46" s="3"/>
      <c r="AB46" s="3"/>
      <c r="AC46" s="3"/>
      <c r="AD46" s="3"/>
      <c r="AE46" s="3"/>
      <c r="AF46" s="3"/>
    </row>
    <row r="47" spans="1:32" ht="48" x14ac:dyDescent="0.2">
      <c r="A47" s="29" t="s">
        <v>10</v>
      </c>
      <c r="B47" s="26" t="s">
        <v>74</v>
      </c>
      <c r="C47" s="27">
        <v>42893</v>
      </c>
      <c r="D47" s="28" t="str">
        <f>HYPERLINK("http://www.flsenate.gov/Session/Bill/2017/2500","FY18 Budget")</f>
        <v>FY18 Budget</v>
      </c>
      <c r="E47" s="26" t="s">
        <v>108</v>
      </c>
      <c r="F47" s="21" t="str">
        <f>HYPERLINK("http://www.theledger.com/news/20170328/florida-house-wants-164m-in-cuts-in-higher-education-budget","Source")</f>
        <v>Source</v>
      </c>
      <c r="G47" s="1"/>
      <c r="H47" s="8" t="s">
        <v>78</v>
      </c>
      <c r="I47" s="3">
        <v>1</v>
      </c>
      <c r="J47" s="3"/>
      <c r="K47" s="3"/>
      <c r="L47" s="3"/>
      <c r="M47" s="3"/>
      <c r="N47" s="3"/>
      <c r="O47" s="3"/>
      <c r="P47" s="3"/>
      <c r="Q47" s="3"/>
      <c r="R47" s="3"/>
      <c r="S47" s="3"/>
      <c r="T47" s="3"/>
      <c r="U47" s="3"/>
      <c r="V47" s="3"/>
      <c r="W47" s="3"/>
      <c r="X47" s="3"/>
      <c r="Y47" s="3"/>
      <c r="Z47" s="3"/>
      <c r="AA47" s="3"/>
      <c r="AB47" s="3"/>
      <c r="AC47" s="3"/>
      <c r="AD47" s="3"/>
      <c r="AE47" s="3"/>
      <c r="AF47" s="3"/>
    </row>
    <row r="48" spans="1:32" ht="24" x14ac:dyDescent="0.2">
      <c r="A48" s="29" t="s">
        <v>10</v>
      </c>
      <c r="B48" s="26" t="s">
        <v>114</v>
      </c>
      <c r="C48" s="27"/>
      <c r="D48" s="28" t="str">
        <f>HYPERLINK("http://www.fldoe.org/core/fileparse.php/14196/urlt/FL-ESSAStatePlan.pdf","FL's state plan")</f>
        <v>FL's state plan</v>
      </c>
      <c r="E48" s="26" t="s">
        <v>109</v>
      </c>
      <c r="F48" s="1"/>
      <c r="G48" s="1" t="s">
        <v>86</v>
      </c>
      <c r="H48" s="8" t="s">
        <v>73</v>
      </c>
      <c r="I48" s="3"/>
      <c r="J48" s="3"/>
      <c r="K48" s="3">
        <v>1</v>
      </c>
      <c r="L48" s="3">
        <v>1</v>
      </c>
      <c r="M48" s="3"/>
      <c r="N48" s="3">
        <v>1</v>
      </c>
      <c r="O48" s="3"/>
      <c r="P48" s="3"/>
      <c r="Q48" s="3"/>
      <c r="R48" s="3"/>
      <c r="S48" s="3"/>
      <c r="T48" s="3"/>
      <c r="U48" s="3"/>
      <c r="V48" s="3"/>
      <c r="W48" s="3"/>
      <c r="X48" s="3"/>
      <c r="Y48" s="3"/>
      <c r="Z48" s="3"/>
      <c r="AA48" s="3"/>
      <c r="AB48" s="3"/>
      <c r="AC48" s="3"/>
      <c r="AD48" s="3"/>
      <c r="AE48" s="3"/>
      <c r="AF48" s="3"/>
    </row>
    <row r="49" spans="1:32" ht="24" x14ac:dyDescent="0.2">
      <c r="A49" s="29" t="s">
        <v>10</v>
      </c>
      <c r="B49" s="26" t="s">
        <v>96</v>
      </c>
      <c r="C49" s="27"/>
      <c r="D49" s="26" t="s">
        <v>107</v>
      </c>
      <c r="E49" s="29" t="s">
        <v>268</v>
      </c>
      <c r="F49" s="21" t="str">
        <f>HYPERLINK("http://www.newsherald.com/news/20171113/rise-to-55aims-to-strengthen-workforce-increase-college-attainment","Source")</f>
        <v>Source</v>
      </c>
      <c r="G49" s="1"/>
      <c r="H49" s="8" t="s">
        <v>76</v>
      </c>
      <c r="I49" s="3"/>
      <c r="J49" s="3"/>
      <c r="K49" s="3"/>
      <c r="L49" s="3">
        <v>1</v>
      </c>
      <c r="M49" s="3"/>
      <c r="N49" s="3"/>
      <c r="O49" s="3"/>
      <c r="P49" s="3"/>
      <c r="Q49" s="3"/>
      <c r="R49" s="3"/>
      <c r="S49" s="3"/>
      <c r="T49" s="3"/>
      <c r="U49" s="3"/>
      <c r="V49" s="3"/>
      <c r="W49" s="3"/>
      <c r="X49" s="3"/>
      <c r="Y49" s="3"/>
      <c r="Z49" s="3"/>
      <c r="AA49" s="3"/>
      <c r="AB49" s="3"/>
      <c r="AC49" s="3"/>
      <c r="AD49" s="3"/>
      <c r="AE49" s="3"/>
      <c r="AF49" s="3"/>
    </row>
    <row r="50" spans="1:32" ht="24" x14ac:dyDescent="0.2">
      <c r="A50" s="29" t="s">
        <v>11</v>
      </c>
      <c r="B50" s="26" t="s">
        <v>114</v>
      </c>
      <c r="C50" s="26"/>
      <c r="D50" s="28" t="str">
        <f>HYPERLINK("http://www.gadoe.org/External-Affairs-and-Policy/communications/Documents/GA_ConsolidatedStatePlan.pdf","GA's ESSA plan")</f>
        <v>GA's ESSA plan</v>
      </c>
      <c r="E50" s="26" t="s">
        <v>110</v>
      </c>
      <c r="F50" s="1"/>
      <c r="G50" s="1" t="s">
        <v>86</v>
      </c>
      <c r="H50" s="8" t="s">
        <v>73</v>
      </c>
      <c r="I50" s="3"/>
      <c r="J50" s="3">
        <v>1</v>
      </c>
      <c r="K50" s="3">
        <v>1</v>
      </c>
      <c r="L50" s="3">
        <v>1</v>
      </c>
      <c r="M50" s="3"/>
      <c r="N50" s="3">
        <v>1</v>
      </c>
      <c r="O50" s="3"/>
      <c r="P50" s="3"/>
      <c r="Q50" s="3"/>
      <c r="R50" s="3"/>
      <c r="S50" s="3"/>
      <c r="T50" s="3"/>
      <c r="U50" s="3"/>
      <c r="V50" s="3"/>
      <c r="W50" s="3"/>
      <c r="X50" s="3"/>
      <c r="Y50" s="3"/>
      <c r="Z50" s="3"/>
      <c r="AA50" s="3"/>
      <c r="AB50" s="3"/>
      <c r="AC50" s="3"/>
      <c r="AD50" s="3"/>
      <c r="AE50" s="3"/>
      <c r="AF50" s="3"/>
    </row>
    <row r="51" spans="1:32" ht="72" x14ac:dyDescent="0.2">
      <c r="A51" s="29" t="s">
        <v>11</v>
      </c>
      <c r="B51" s="26" t="s">
        <v>96</v>
      </c>
      <c r="C51" s="31">
        <v>43045</v>
      </c>
      <c r="D51" s="28" t="str">
        <f>HYPERLINK("https://gov.georgia.gov/press-releases/2017-10-30/deal-site-selection-ranks-georgia-no-1-business-fifth-straight-year","HOPE Career Grant Expansion")</f>
        <v>HOPE Career Grant Expansion</v>
      </c>
      <c r="E51" s="29" t="s">
        <v>358</v>
      </c>
      <c r="F51" s="21" t="str">
        <f>HYPERLINK("http://www.ccdaily.com/2017/11/ga-grants-will-cover-high-demand-industries/","Source")</f>
        <v>Source</v>
      </c>
      <c r="G51" s="1"/>
      <c r="H51" s="8" t="s">
        <v>76</v>
      </c>
      <c r="I51" s="3">
        <v>1</v>
      </c>
      <c r="J51" s="3"/>
      <c r="K51" s="3"/>
      <c r="L51" s="3">
        <v>1</v>
      </c>
      <c r="M51" s="3"/>
      <c r="N51" s="3"/>
      <c r="O51" s="3"/>
      <c r="P51" s="3"/>
      <c r="Q51" s="3"/>
      <c r="R51" s="3"/>
      <c r="S51" s="3"/>
      <c r="T51" s="3"/>
      <c r="U51" s="3"/>
      <c r="V51" s="3"/>
      <c r="W51" s="3"/>
      <c r="X51" s="3"/>
      <c r="Y51" s="3"/>
      <c r="Z51" s="3"/>
      <c r="AA51" s="3"/>
      <c r="AB51" s="3"/>
      <c r="AC51" s="3"/>
      <c r="AD51" s="3"/>
      <c r="AE51" s="3"/>
      <c r="AF51" s="3"/>
    </row>
    <row r="52" spans="1:32" ht="12.75" x14ac:dyDescent="0.2">
      <c r="A52" s="29" t="s">
        <v>323</v>
      </c>
      <c r="B52" s="29" t="s">
        <v>321</v>
      </c>
      <c r="C52" s="29" t="s">
        <v>321</v>
      </c>
      <c r="D52" s="29" t="s">
        <v>321</v>
      </c>
      <c r="E52" s="29" t="s">
        <v>322</v>
      </c>
      <c r="F52" s="19"/>
      <c r="G52" s="19"/>
      <c r="H52" s="8"/>
      <c r="I52" s="13"/>
      <c r="J52" s="13"/>
      <c r="K52" s="13"/>
      <c r="L52" s="13"/>
      <c r="M52" s="13"/>
      <c r="N52" s="13"/>
      <c r="O52" s="13"/>
      <c r="P52" s="13"/>
      <c r="Q52" s="13"/>
      <c r="R52" s="13"/>
      <c r="S52" s="13"/>
      <c r="T52" s="13"/>
      <c r="U52" s="13"/>
      <c r="V52" s="13"/>
      <c r="W52" s="13"/>
      <c r="X52" s="13"/>
      <c r="Y52" s="13"/>
      <c r="Z52" s="3"/>
      <c r="AA52" s="3"/>
      <c r="AB52" s="3"/>
      <c r="AC52" s="3"/>
      <c r="AD52" s="3"/>
      <c r="AE52" s="3"/>
      <c r="AF52" s="3"/>
    </row>
    <row r="53" spans="1:32" ht="60" x14ac:dyDescent="0.2">
      <c r="A53" s="29" t="s">
        <v>269</v>
      </c>
      <c r="B53" s="26" t="s">
        <v>74</v>
      </c>
      <c r="C53" s="27">
        <v>42909</v>
      </c>
      <c r="D53" s="28" t="str">
        <f>HYPERLINK("https://www.capitol.hawaii.gov/Archives/measure_indiv_Archives.aspx?billtype=HB&amp;billnumber=100&amp;year=2017","HB100 (General Appropriations Act of 2017)")</f>
        <v>HB100 (General Appropriations Act of 2017)</v>
      </c>
      <c r="E53" s="26" t="s">
        <v>359</v>
      </c>
      <c r="F53" s="21" t="str">
        <f>HYPERLINK("http://governor.hawaii.gov/newsroom/governors-office-news-release-governor-iges-budget-proposal-highlights-education-housinghomelessness-sustainability/","Source")</f>
        <v>Source</v>
      </c>
      <c r="G53" s="1"/>
      <c r="H53" s="8" t="s">
        <v>73</v>
      </c>
      <c r="I53" s="3">
        <v>1</v>
      </c>
      <c r="J53" s="3"/>
      <c r="K53" s="3">
        <v>1</v>
      </c>
      <c r="L53" s="3"/>
      <c r="M53" s="3"/>
      <c r="N53" s="3"/>
      <c r="O53" s="3"/>
      <c r="P53" s="3"/>
      <c r="Q53" s="3"/>
      <c r="R53" s="3"/>
      <c r="S53" s="3"/>
      <c r="T53" s="3"/>
      <c r="U53" s="3"/>
      <c r="V53" s="3"/>
      <c r="W53" s="3"/>
      <c r="X53" s="3"/>
      <c r="Y53" s="3"/>
      <c r="Z53" s="3"/>
      <c r="AA53" s="3"/>
      <c r="AB53" s="3"/>
      <c r="AC53" s="3"/>
      <c r="AD53" s="3"/>
      <c r="AE53" s="3"/>
      <c r="AF53" s="3"/>
    </row>
    <row r="54" spans="1:32" ht="84" x14ac:dyDescent="0.2">
      <c r="A54" s="29" t="s">
        <v>269</v>
      </c>
      <c r="B54" s="26" t="s">
        <v>72</v>
      </c>
      <c r="C54" s="27">
        <v>42804</v>
      </c>
      <c r="D54" s="30" t="str">
        <f>HYPERLINK("http://www.capitol.hawaii.gov/measure_indiv.aspx?billtype=SR&amp;billnumber=85&amp;year=2017","SR85")</f>
        <v>SR85</v>
      </c>
      <c r="E54" s="29" t="s">
        <v>270</v>
      </c>
      <c r="F54" s="5"/>
      <c r="G54" s="5"/>
      <c r="H54" s="8" t="s">
        <v>73</v>
      </c>
      <c r="I54" s="5"/>
      <c r="J54" s="5">
        <v>1</v>
      </c>
      <c r="K54" s="5">
        <v>1</v>
      </c>
      <c r="L54" s="5">
        <v>1</v>
      </c>
      <c r="M54" s="5"/>
      <c r="N54" s="5"/>
      <c r="O54" s="5"/>
      <c r="P54" s="5"/>
      <c r="Q54" s="5"/>
      <c r="R54" s="5"/>
      <c r="S54" s="5"/>
      <c r="T54" s="5"/>
      <c r="U54" s="5"/>
      <c r="V54" s="5"/>
      <c r="W54" s="5"/>
      <c r="X54" s="5"/>
      <c r="Y54" s="6"/>
      <c r="Z54" s="3"/>
      <c r="AA54" s="3"/>
      <c r="AB54" s="3"/>
      <c r="AC54" s="3"/>
      <c r="AD54" s="3"/>
      <c r="AE54" s="3"/>
      <c r="AF54" s="3"/>
    </row>
    <row r="55" spans="1:32" ht="36" x14ac:dyDescent="0.2">
      <c r="A55" s="29" t="s">
        <v>12</v>
      </c>
      <c r="B55" s="26" t="s">
        <v>74</v>
      </c>
      <c r="C55" s="27">
        <v>42829</v>
      </c>
      <c r="D55" s="28" t="str">
        <f>HYPERLINK("https://legislature.idaho.gov/sessioninfo/2017/legislation/H0298/","HB298")</f>
        <v>HB298</v>
      </c>
      <c r="E55" s="29" t="s">
        <v>272</v>
      </c>
      <c r="F55" s="21" t="str">
        <f>HYPERLINK("https://www.idahoednews.org/news/statehouse-roundup-3-21-17-ybarras-rural-initiative-dead-session/","Source")</f>
        <v>Source</v>
      </c>
      <c r="G55" s="1"/>
      <c r="H55" s="8" t="s">
        <v>73</v>
      </c>
      <c r="I55" s="3">
        <v>1</v>
      </c>
      <c r="J55" s="3">
        <v>1</v>
      </c>
      <c r="K55" s="3"/>
      <c r="L55" s="3"/>
      <c r="M55" s="3"/>
      <c r="N55" s="3"/>
      <c r="O55" s="3">
        <v>1</v>
      </c>
      <c r="P55" s="3"/>
      <c r="Q55" s="3"/>
      <c r="R55" s="3">
        <v>1</v>
      </c>
      <c r="S55" s="3"/>
      <c r="T55" s="3"/>
      <c r="U55" s="3"/>
      <c r="V55" s="3"/>
      <c r="W55" s="3"/>
      <c r="X55" s="3"/>
      <c r="Y55" s="3"/>
      <c r="Z55" s="3"/>
      <c r="AA55" s="3"/>
      <c r="AB55" s="3"/>
      <c r="AC55" s="3"/>
      <c r="AD55" s="3"/>
      <c r="AE55" s="3"/>
      <c r="AF55" s="3"/>
    </row>
    <row r="56" spans="1:32" ht="84" x14ac:dyDescent="0.2">
      <c r="A56" s="29" t="s">
        <v>12</v>
      </c>
      <c r="B56" s="26" t="s">
        <v>74</v>
      </c>
      <c r="C56" s="27">
        <v>42829</v>
      </c>
      <c r="D56" s="28" t="str">
        <f>HYPERLINK("https://legislature.idaho.gov/sessioninfo/2017/legislation/H0295/","HB295")</f>
        <v>HB295</v>
      </c>
      <c r="E56" s="29" t="s">
        <v>274</v>
      </c>
      <c r="F56" s="21" t="str">
        <f>HYPERLINK("https://www.idahoednews.org/news/statehouse-roundup-3-21-17-ybarras-rural-initiative-dead-session/","Source")</f>
        <v>Source</v>
      </c>
      <c r="G56" s="1"/>
      <c r="H56" s="8" t="s">
        <v>91</v>
      </c>
      <c r="I56" s="3">
        <v>1</v>
      </c>
      <c r="J56" s="3"/>
      <c r="K56" s="3">
        <v>1</v>
      </c>
      <c r="L56" s="3"/>
      <c r="M56" s="3"/>
      <c r="N56" s="3"/>
      <c r="O56" s="3"/>
      <c r="P56" s="3"/>
      <c r="Q56" s="3"/>
      <c r="R56" s="3"/>
      <c r="S56" s="3"/>
      <c r="T56" s="3"/>
      <c r="U56" s="3"/>
      <c r="V56" s="3"/>
      <c r="W56" s="3"/>
      <c r="X56" s="3"/>
      <c r="Y56" s="3"/>
      <c r="Z56" s="3"/>
      <c r="AA56" s="3"/>
      <c r="AB56" s="3"/>
      <c r="AC56" s="3"/>
      <c r="AD56" s="3"/>
      <c r="AE56" s="3"/>
      <c r="AF56" s="3"/>
    </row>
    <row r="57" spans="1:32" ht="120" x14ac:dyDescent="0.2">
      <c r="A57" s="29" t="s">
        <v>12</v>
      </c>
      <c r="B57" s="26" t="s">
        <v>111</v>
      </c>
      <c r="C57" s="26"/>
      <c r="D57" s="28" t="str">
        <f>HYPERLINK("https://gov.idaho.gov/mediacenter/Higher%20Education%20Task%20Force%20Final%20Report_10.13.2017.pdf","Higher Education Task Force")</f>
        <v>Higher Education Task Force</v>
      </c>
      <c r="E57" s="29" t="s">
        <v>271</v>
      </c>
      <c r="F57" s="21" t="str">
        <f>HYPERLINK("https://arbiteronline.com/2017/01/23/governor-otter-orders-new-task-force-to-examine-higher-education/","Source")</f>
        <v>Source</v>
      </c>
      <c r="G57" s="1"/>
      <c r="H57" s="8" t="s">
        <v>76</v>
      </c>
      <c r="I57" s="3"/>
      <c r="J57" s="3"/>
      <c r="K57" s="3"/>
      <c r="L57" s="3"/>
      <c r="M57" s="3"/>
      <c r="N57" s="3"/>
      <c r="O57" s="3"/>
      <c r="P57" s="3"/>
      <c r="Q57" s="3"/>
      <c r="R57" s="3"/>
      <c r="S57" s="3"/>
      <c r="T57" s="3">
        <v>1</v>
      </c>
      <c r="U57" s="3"/>
      <c r="V57" s="3"/>
      <c r="W57" s="3"/>
      <c r="X57" s="3"/>
      <c r="Y57" s="3"/>
      <c r="Z57" s="3"/>
      <c r="AA57" s="3"/>
      <c r="AB57" s="3"/>
      <c r="AC57" s="3"/>
      <c r="AD57" s="3"/>
      <c r="AE57" s="3"/>
      <c r="AF57" s="3"/>
    </row>
    <row r="58" spans="1:32" ht="96" x14ac:dyDescent="0.2">
      <c r="A58" s="29" t="s">
        <v>12</v>
      </c>
      <c r="B58" s="26" t="s">
        <v>111</v>
      </c>
      <c r="C58" s="26"/>
      <c r="D58" s="28" t="str">
        <f>HYPERLINK("https://cte.idaho.gov/wp-content/uploads/2017/07/Final-WD_TF-Report-1.pdf","Workforce Development Taskforce")</f>
        <v>Workforce Development Taskforce</v>
      </c>
      <c r="E58" s="29" t="s">
        <v>113</v>
      </c>
      <c r="F58" s="21" t="str">
        <f>HYPERLINK("http://magicvalley.com/news/local/govt-and-politics/otter-announces-new-task-force-to-study-skills-gap/article_a0330fb4-ccf9-51cc-bc92-46b53fbd9c55.html","Source")</f>
        <v>Source</v>
      </c>
      <c r="G58" s="1"/>
      <c r="H58" s="8" t="s">
        <v>80</v>
      </c>
      <c r="I58" s="3"/>
      <c r="J58" s="3"/>
      <c r="K58" s="3"/>
      <c r="L58" s="3"/>
      <c r="M58" s="3"/>
      <c r="N58" s="3"/>
      <c r="O58" s="3"/>
      <c r="P58" s="3"/>
      <c r="Q58" s="3"/>
      <c r="R58" s="3"/>
      <c r="S58" s="3"/>
      <c r="T58" s="3">
        <v>1</v>
      </c>
      <c r="U58" s="3"/>
      <c r="V58" s="3"/>
      <c r="W58" s="3"/>
      <c r="X58" s="3"/>
      <c r="Y58" s="3"/>
      <c r="Z58" s="3"/>
      <c r="AA58" s="3"/>
      <c r="AB58" s="3"/>
      <c r="AC58" s="3"/>
      <c r="AD58" s="3"/>
      <c r="AE58" s="3"/>
      <c r="AF58" s="3"/>
    </row>
    <row r="59" spans="1:32" ht="24" x14ac:dyDescent="0.2">
      <c r="A59" s="29" t="s">
        <v>12</v>
      </c>
      <c r="B59" s="26" t="s">
        <v>114</v>
      </c>
      <c r="C59" s="26"/>
      <c r="D59" s="28" t="str">
        <f>HYPERLINK("https://www2.ed.gov/admins/lead/account/stateplan17/idconsolidatedstateplan.pdf","ID's ESSA plan")</f>
        <v>ID's ESSA plan</v>
      </c>
      <c r="E59" s="26" t="s">
        <v>360</v>
      </c>
      <c r="F59" s="1"/>
      <c r="G59" s="1" t="s">
        <v>86</v>
      </c>
      <c r="H59" s="8" t="s">
        <v>73</v>
      </c>
      <c r="I59" s="3"/>
      <c r="J59" s="3">
        <v>1</v>
      </c>
      <c r="K59" s="3">
        <v>1</v>
      </c>
      <c r="L59" s="3">
        <v>1</v>
      </c>
      <c r="M59" s="3"/>
      <c r="N59" s="3">
        <v>1</v>
      </c>
      <c r="O59" s="3"/>
      <c r="P59" s="3"/>
      <c r="Q59" s="3"/>
      <c r="R59" s="3"/>
      <c r="S59" s="3"/>
      <c r="T59" s="3"/>
      <c r="U59" s="3"/>
      <c r="V59" s="3"/>
      <c r="W59" s="3"/>
      <c r="X59" s="3"/>
      <c r="Y59" s="3"/>
      <c r="Z59" s="3"/>
      <c r="AA59" s="3"/>
      <c r="AB59" s="3"/>
      <c r="AC59" s="3"/>
      <c r="AD59" s="3"/>
      <c r="AE59" s="3"/>
      <c r="AF59" s="3"/>
    </row>
    <row r="60" spans="1:32" ht="36" x14ac:dyDescent="0.2">
      <c r="A60" s="29" t="s">
        <v>12</v>
      </c>
      <c r="B60" s="26" t="s">
        <v>72</v>
      </c>
      <c r="C60" s="27">
        <v>42814</v>
      </c>
      <c r="D60" s="28" t="str">
        <f>HYPERLINK("https://legislature.idaho.gov/sessioninfo/2017/legislation/S1029/","SB1029")</f>
        <v>SB1029</v>
      </c>
      <c r="E60" s="26" t="s">
        <v>112</v>
      </c>
      <c r="F60" s="1"/>
      <c r="G60" s="1"/>
      <c r="H60" s="8" t="s">
        <v>73</v>
      </c>
      <c r="I60" s="3"/>
      <c r="J60" s="3"/>
      <c r="K60" s="3">
        <v>1</v>
      </c>
      <c r="L60" s="3"/>
      <c r="M60" s="3"/>
      <c r="N60" s="3"/>
      <c r="O60" s="3"/>
      <c r="P60" s="3"/>
      <c r="Q60" s="3"/>
      <c r="R60" s="3"/>
      <c r="S60" s="3">
        <v>1</v>
      </c>
      <c r="T60" s="3"/>
      <c r="U60" s="3"/>
      <c r="V60" s="3"/>
      <c r="W60" s="3"/>
      <c r="X60" s="3"/>
      <c r="Y60" s="3"/>
      <c r="Z60" s="3"/>
      <c r="AA60" s="3"/>
      <c r="AB60" s="3"/>
      <c r="AC60" s="3"/>
      <c r="AD60" s="3"/>
      <c r="AE60" s="3"/>
      <c r="AF60" s="3"/>
    </row>
    <row r="61" spans="1:32" ht="48" x14ac:dyDescent="0.2">
      <c r="A61" s="29" t="s">
        <v>12</v>
      </c>
      <c r="B61" s="26" t="s">
        <v>72</v>
      </c>
      <c r="C61" s="27">
        <v>42831</v>
      </c>
      <c r="D61" s="28" t="str">
        <f>HYPERLINK("https://legislature.idaho.gov/sessioninfo/2017/legislation/H0262/","HB262")</f>
        <v>HB262</v>
      </c>
      <c r="E61" s="29" t="s">
        <v>273</v>
      </c>
      <c r="F61" s="1"/>
      <c r="G61" s="1"/>
      <c r="H61" s="8" t="s">
        <v>73</v>
      </c>
      <c r="I61" s="3">
        <v>1</v>
      </c>
      <c r="J61" s="3"/>
      <c r="K61" s="3"/>
      <c r="L61" s="3"/>
      <c r="M61" s="3"/>
      <c r="N61" s="3"/>
      <c r="O61" s="3"/>
      <c r="P61" s="3"/>
      <c r="Q61" s="3"/>
      <c r="R61" s="3"/>
      <c r="S61" s="3">
        <v>1</v>
      </c>
      <c r="T61" s="3"/>
      <c r="U61" s="3"/>
      <c r="V61" s="3"/>
      <c r="W61" s="3"/>
      <c r="X61" s="3"/>
      <c r="Y61" s="3"/>
      <c r="Z61" s="3"/>
      <c r="AA61" s="3"/>
      <c r="AB61" s="3"/>
      <c r="AC61" s="3"/>
      <c r="AD61" s="3"/>
      <c r="AE61" s="3"/>
      <c r="AF61" s="3"/>
    </row>
    <row r="62" spans="1:32" ht="108" x14ac:dyDescent="0.2">
      <c r="A62" s="29" t="s">
        <v>13</v>
      </c>
      <c r="B62" s="26" t="s">
        <v>114</v>
      </c>
      <c r="C62" s="27"/>
      <c r="D62" s="28" t="str">
        <f>HYPERLINK("https://www.isbe.net/Documents/PaCE_Revisions.pdf","Postsecondary and Career Expectations (PaCE) framework")</f>
        <v>Postsecondary and Career Expectations (PaCE) framework</v>
      </c>
      <c r="E62" s="29" t="s">
        <v>276</v>
      </c>
      <c r="F62" s="21" t="str">
        <f>HYPERLINK("http://chicagotonight.wttw.com/2017/06/22/new-illinois-guidelines-aim-boost-college-and-career-readiness","Source")</f>
        <v>Source</v>
      </c>
      <c r="G62" s="1"/>
      <c r="H62" s="8" t="s">
        <v>73</v>
      </c>
      <c r="I62" s="3"/>
      <c r="J62" s="3"/>
      <c r="K62" s="3"/>
      <c r="L62" s="3"/>
      <c r="M62" s="3"/>
      <c r="N62" s="3"/>
      <c r="O62" s="3"/>
      <c r="P62" s="3">
        <v>1</v>
      </c>
      <c r="Q62" s="3"/>
      <c r="R62" s="3"/>
      <c r="S62" s="3">
        <v>1</v>
      </c>
      <c r="T62" s="3"/>
      <c r="U62" s="3"/>
      <c r="V62" s="3"/>
      <c r="W62" s="3"/>
      <c r="X62" s="3"/>
      <c r="Y62" s="3"/>
      <c r="Z62" s="3"/>
      <c r="AA62" s="3"/>
      <c r="AB62" s="3"/>
      <c r="AC62" s="3"/>
      <c r="AD62" s="3"/>
      <c r="AE62" s="3"/>
      <c r="AF62" s="3"/>
    </row>
    <row r="63" spans="1:32" ht="36" x14ac:dyDescent="0.2">
      <c r="A63" s="29" t="s">
        <v>13</v>
      </c>
      <c r="B63" s="26" t="s">
        <v>114</v>
      </c>
      <c r="C63" s="27"/>
      <c r="D63" s="28" t="str">
        <f>HYPERLINK("https://www.isbe.net/Documents/ESSAStatePlanforIllinois.pdf","IL's ESSA plan")</f>
        <v>IL's ESSA plan</v>
      </c>
      <c r="E63" s="29" t="s">
        <v>363</v>
      </c>
      <c r="F63" s="1"/>
      <c r="G63" s="1" t="s">
        <v>86</v>
      </c>
      <c r="H63" s="8" t="s">
        <v>73</v>
      </c>
      <c r="I63" s="3"/>
      <c r="J63" s="3">
        <v>1</v>
      </c>
      <c r="K63" s="3">
        <v>1</v>
      </c>
      <c r="L63" s="3">
        <v>1</v>
      </c>
      <c r="M63" s="3"/>
      <c r="N63" s="3">
        <v>1</v>
      </c>
      <c r="O63" s="3"/>
      <c r="P63" s="3"/>
      <c r="Q63" s="3"/>
      <c r="R63" s="3"/>
      <c r="S63" s="3"/>
      <c r="T63" s="3"/>
      <c r="U63" s="3"/>
      <c r="V63" s="3"/>
      <c r="W63" s="3"/>
      <c r="X63" s="3"/>
      <c r="Y63" s="3"/>
      <c r="Z63" s="3"/>
      <c r="AA63" s="3"/>
      <c r="AB63" s="3"/>
      <c r="AC63" s="3"/>
      <c r="AD63" s="3"/>
      <c r="AE63" s="3"/>
      <c r="AF63" s="3"/>
    </row>
    <row r="64" spans="1:32" ht="60" x14ac:dyDescent="0.2">
      <c r="A64" s="29" t="s">
        <v>13</v>
      </c>
      <c r="B64" s="26" t="s">
        <v>72</v>
      </c>
      <c r="C64" s="27">
        <v>43000</v>
      </c>
      <c r="D64" s="28" t="str">
        <f>HYPERLINK("http://www.ilga.gov/legislation/BillStatus.asp?DocNum=2527&amp;GAID=14&amp;DocTypeID=HB&amp;SessionID=91&amp;GA=100","HB2527")</f>
        <v>HB2527</v>
      </c>
      <c r="E64" s="26" t="s">
        <v>115</v>
      </c>
      <c r="F64" s="1"/>
      <c r="G64" s="1"/>
      <c r="H64" s="8" t="s">
        <v>75</v>
      </c>
      <c r="I64" s="3"/>
      <c r="J64" s="3"/>
      <c r="K64" s="3">
        <v>1</v>
      </c>
      <c r="L64" s="3">
        <v>1</v>
      </c>
      <c r="M64" s="3">
        <v>1</v>
      </c>
      <c r="N64" s="3"/>
      <c r="O64" s="3"/>
      <c r="P64" s="3"/>
      <c r="Q64" s="3"/>
      <c r="R64" s="3"/>
      <c r="S64" s="3"/>
      <c r="T64" s="3"/>
      <c r="U64" s="3"/>
      <c r="V64" s="3"/>
      <c r="W64" s="3"/>
      <c r="X64" s="3"/>
      <c r="Y64" s="3">
        <v>1</v>
      </c>
      <c r="Z64" s="3"/>
      <c r="AA64" s="3"/>
      <c r="AB64" s="3"/>
      <c r="AC64" s="3"/>
      <c r="AD64" s="3"/>
      <c r="AE64" s="3"/>
      <c r="AF64" s="3"/>
    </row>
    <row r="65" spans="1:32" ht="48" x14ac:dyDescent="0.2">
      <c r="A65" s="29" t="s">
        <v>13</v>
      </c>
      <c r="B65" s="26" t="s">
        <v>72</v>
      </c>
      <c r="C65" s="27">
        <v>42916</v>
      </c>
      <c r="D65" s="28" t="str">
        <f>HYPERLINK("http://www.ilga.gov/legislation/BillStatus.asp?DocNum=2470&amp;GAID=14&amp;DocTypeID=HB&amp;SessionID=91&amp;GA=100","HB2470")</f>
        <v>HB2470</v>
      </c>
      <c r="E65" s="26" t="s">
        <v>361</v>
      </c>
      <c r="F65" s="1"/>
      <c r="G65" s="1"/>
      <c r="H65" s="8" t="s">
        <v>73</v>
      </c>
      <c r="I65" s="3"/>
      <c r="J65" s="3"/>
      <c r="K65" s="3"/>
      <c r="L65" s="3"/>
      <c r="M65" s="3"/>
      <c r="N65" s="3"/>
      <c r="O65" s="3"/>
      <c r="P65" s="3"/>
      <c r="Q65" s="3"/>
      <c r="R65" s="3">
        <v>1</v>
      </c>
      <c r="S65" s="3"/>
      <c r="T65" s="3"/>
      <c r="U65" s="3"/>
      <c r="V65" s="3"/>
      <c r="W65" s="3"/>
      <c r="X65" s="3"/>
      <c r="Y65" s="3"/>
      <c r="Z65" s="3"/>
      <c r="AA65" s="3"/>
      <c r="AB65" s="3"/>
      <c r="AC65" s="3"/>
      <c r="AD65" s="3"/>
      <c r="AE65" s="3"/>
      <c r="AF65" s="3"/>
    </row>
    <row r="66" spans="1:32" ht="36" x14ac:dyDescent="0.2">
      <c r="A66" s="29" t="s">
        <v>13</v>
      </c>
      <c r="B66" s="26" t="s">
        <v>72</v>
      </c>
      <c r="C66" s="27">
        <v>42916</v>
      </c>
      <c r="D66" s="28" t="str">
        <f>HYPERLINK("http://www.ilga.gov/legislation/BillStatus.asp?DocNum=3820&amp;GAID=14&amp;DocTypeID=HB&amp;SessionID=91&amp;GA=100","HB3820")</f>
        <v>HB3820</v>
      </c>
      <c r="E66" s="26" t="s">
        <v>116</v>
      </c>
      <c r="F66" s="21" t="str">
        <f>HYPERLINK("https://www.ilnews.org/news/schools/new-law-could-help-illinois-schools-find-technical-teachers/article_679e884e-6d59-11e7-852a-fbdc4671e21f.html","Source")</f>
        <v>Source</v>
      </c>
      <c r="G66" s="1"/>
      <c r="H66" s="8" t="s">
        <v>73</v>
      </c>
      <c r="I66" s="3"/>
      <c r="J66" s="3"/>
      <c r="K66" s="3"/>
      <c r="L66" s="3"/>
      <c r="M66" s="3"/>
      <c r="N66" s="3"/>
      <c r="O66" s="3"/>
      <c r="P66" s="3"/>
      <c r="Q66" s="3"/>
      <c r="R66" s="3">
        <v>1</v>
      </c>
      <c r="S66" s="3"/>
      <c r="T66" s="3"/>
      <c r="U66" s="3"/>
      <c r="V66" s="3"/>
      <c r="W66" s="3"/>
      <c r="X66" s="3"/>
      <c r="Y66" s="3"/>
      <c r="Z66" s="3"/>
      <c r="AA66" s="3"/>
      <c r="AB66" s="3"/>
      <c r="AC66" s="3"/>
      <c r="AD66" s="3"/>
      <c r="AE66" s="3"/>
      <c r="AF66" s="3"/>
    </row>
    <row r="67" spans="1:32" ht="48" x14ac:dyDescent="0.2">
      <c r="A67" s="29" t="s">
        <v>13</v>
      </c>
      <c r="B67" s="26" t="s">
        <v>72</v>
      </c>
      <c r="C67" s="27">
        <v>42962</v>
      </c>
      <c r="D67" s="28" t="str">
        <f>HYPERLINK("http://www.ilga.gov/legislation/BillStatus.asp?DocNum=1991&amp;GAID=14&amp;DocTypeID=SB&amp;SessionID=91&amp;GA=100","SB1991")</f>
        <v>SB1991</v>
      </c>
      <c r="E67" s="26" t="s">
        <v>362</v>
      </c>
      <c r="F67" s="1"/>
      <c r="G67" s="1"/>
      <c r="H67" s="8" t="s">
        <v>73</v>
      </c>
      <c r="I67" s="3"/>
      <c r="J67" s="3"/>
      <c r="K67" s="3"/>
      <c r="L67" s="3"/>
      <c r="M67" s="3"/>
      <c r="N67" s="3">
        <v>1</v>
      </c>
      <c r="O67" s="3"/>
      <c r="P67" s="3"/>
      <c r="Q67" s="3"/>
      <c r="R67" s="3">
        <v>1</v>
      </c>
      <c r="S67" s="3"/>
      <c r="T67" s="3">
        <v>1</v>
      </c>
      <c r="U67" s="3"/>
      <c r="V67" s="3"/>
      <c r="W67" s="3"/>
      <c r="X67" s="3"/>
      <c r="Y67" s="3"/>
      <c r="Z67" s="3"/>
      <c r="AA67" s="3"/>
      <c r="AB67" s="3"/>
      <c r="AC67" s="3"/>
      <c r="AD67" s="3"/>
      <c r="AE67" s="3"/>
      <c r="AF67" s="3"/>
    </row>
    <row r="68" spans="1:32" ht="24" x14ac:dyDescent="0.2">
      <c r="A68" s="29" t="s">
        <v>13</v>
      </c>
      <c r="B68" s="26" t="s">
        <v>72</v>
      </c>
      <c r="C68" s="27">
        <v>42965</v>
      </c>
      <c r="D68" s="28" t="str">
        <f>HYPERLINK("http://www.ilga.gov/legislation/BillStatus.asp?DocNum=2794&amp;GAID=14&amp;DocTypeID=HB&amp;SessionID=91&amp;GA=100","HB2794")</f>
        <v>HB2794</v>
      </c>
      <c r="E68" s="26" t="s">
        <v>117</v>
      </c>
      <c r="F68" s="1"/>
      <c r="G68" s="1"/>
      <c r="H68" s="8" t="s">
        <v>81</v>
      </c>
      <c r="I68" s="3"/>
      <c r="J68" s="3"/>
      <c r="K68" s="3">
        <v>1</v>
      </c>
      <c r="L68" s="3"/>
      <c r="M68" s="3"/>
      <c r="N68" s="3"/>
      <c r="O68" s="3"/>
      <c r="P68" s="3"/>
      <c r="Q68" s="3"/>
      <c r="R68" s="3"/>
      <c r="S68" s="3">
        <v>1</v>
      </c>
      <c r="T68" s="3"/>
      <c r="U68" s="3"/>
      <c r="V68" s="3"/>
      <c r="W68" s="3"/>
      <c r="X68" s="3"/>
      <c r="Y68" s="3"/>
      <c r="Z68" s="3"/>
      <c r="AA68" s="3"/>
      <c r="AB68" s="3"/>
      <c r="AC68" s="3"/>
      <c r="AD68" s="3"/>
      <c r="AE68" s="3"/>
      <c r="AF68" s="3"/>
    </row>
    <row r="69" spans="1:32" ht="84" x14ac:dyDescent="0.2">
      <c r="A69" s="29" t="s">
        <v>13</v>
      </c>
      <c r="B69" s="26" t="s">
        <v>72</v>
      </c>
      <c r="C69" s="27">
        <v>42978</v>
      </c>
      <c r="D69" s="28" t="str">
        <f>HYPERLINK("http://www.ilga.gov/legislation/BillStatus.asp?DocNum=1947&amp;GAID=14&amp;DocTypeID=SB&amp;SessionID=91&amp;GA=100","SB1947")</f>
        <v>SB1947</v>
      </c>
      <c r="E69" s="29" t="s">
        <v>277</v>
      </c>
      <c r="F69" s="1"/>
      <c r="G69" s="1"/>
      <c r="H69" s="8" t="s">
        <v>81</v>
      </c>
      <c r="I69" s="3">
        <v>1</v>
      </c>
      <c r="J69" s="3"/>
      <c r="K69" s="3"/>
      <c r="L69" s="3"/>
      <c r="M69" s="3"/>
      <c r="N69" s="3">
        <v>1</v>
      </c>
      <c r="O69" s="3"/>
      <c r="P69" s="3"/>
      <c r="Q69" s="3"/>
      <c r="R69" s="3"/>
      <c r="S69" s="3"/>
      <c r="T69" s="3">
        <v>1</v>
      </c>
      <c r="U69" s="3"/>
      <c r="V69" s="3"/>
      <c r="W69" s="3"/>
      <c r="X69" s="3"/>
      <c r="Y69" s="3"/>
      <c r="Z69" s="3"/>
      <c r="AA69" s="3"/>
      <c r="AB69" s="3"/>
      <c r="AC69" s="3"/>
      <c r="AD69" s="3"/>
      <c r="AE69" s="3"/>
      <c r="AF69" s="3"/>
    </row>
    <row r="70" spans="1:32" ht="132" x14ac:dyDescent="0.2">
      <c r="A70" s="29" t="s">
        <v>13</v>
      </c>
      <c r="B70" s="26" t="s">
        <v>96</v>
      </c>
      <c r="C70" s="26"/>
      <c r="D70" s="28" t="str">
        <f>HYPERLINK("http://www.iccb.org/cte/wp-content/uploads/2017/02/CAREER-AGREEMENT-ICCB-pending-03-17-17.pdf","CAREER Agreement (Comprehensive Agreement Regarding the Expansion of Educational Resources)")</f>
        <v>CAREER Agreement (Comprehensive Agreement Regarding the Expansion of Educational Resources)</v>
      </c>
      <c r="E70" s="29" t="s">
        <v>275</v>
      </c>
      <c r="F70" s="21" t="str">
        <f>HYPERLINK("https://enewspf.com/2017/03/22/il-community-colleges-sign-agreement-expanding-opportunities-career-tech-education/","Source")</f>
        <v>Source</v>
      </c>
      <c r="G70" s="1"/>
      <c r="H70" s="8" t="s">
        <v>76</v>
      </c>
      <c r="I70" s="3"/>
      <c r="J70" s="3"/>
      <c r="K70" s="3">
        <v>1</v>
      </c>
      <c r="L70" s="3"/>
      <c r="M70" s="3"/>
      <c r="N70" s="3"/>
      <c r="O70" s="3"/>
      <c r="P70" s="3"/>
      <c r="Q70" s="3"/>
      <c r="R70" s="3"/>
      <c r="S70" s="3"/>
      <c r="T70" s="3"/>
      <c r="U70" s="3"/>
      <c r="V70" s="3"/>
      <c r="W70" s="3"/>
      <c r="X70" s="3"/>
      <c r="Y70" s="3">
        <v>1</v>
      </c>
      <c r="Z70" s="3"/>
      <c r="AA70" s="3"/>
      <c r="AB70" s="3"/>
      <c r="AC70" s="3"/>
      <c r="AD70" s="3"/>
      <c r="AE70" s="3"/>
      <c r="AF70" s="3"/>
    </row>
    <row r="71" spans="1:32" ht="36" x14ac:dyDescent="0.2">
      <c r="A71" s="29" t="s">
        <v>14</v>
      </c>
      <c r="B71" s="26" t="s">
        <v>74</v>
      </c>
      <c r="C71" s="27">
        <v>42852</v>
      </c>
      <c r="D71" s="28" t="str">
        <f>HYPERLINK("http://iga.in.gov/legislative/2017/bills/house/1001/","HB1001")</f>
        <v>HB1001</v>
      </c>
      <c r="E71" s="26" t="s">
        <v>278</v>
      </c>
      <c r="F71" s="21" t="str">
        <f>HYPERLINK("http://www.chalkbeat.org/posts/in/2017/01/10/holcombs-budget-plan-boosts-funding-for-indiana-schools-but-democrats-say-its-not-enough/","Source")</f>
        <v>Source</v>
      </c>
      <c r="G71" s="1"/>
      <c r="H71" s="8" t="s">
        <v>75</v>
      </c>
      <c r="I71" s="3">
        <v>1</v>
      </c>
      <c r="J71" s="3"/>
      <c r="K71" s="3"/>
      <c r="L71" s="3"/>
      <c r="M71" s="3"/>
      <c r="N71" s="3"/>
      <c r="O71" s="3">
        <v>1</v>
      </c>
      <c r="P71" s="3"/>
      <c r="Q71" s="3"/>
      <c r="R71" s="3"/>
      <c r="S71" s="3"/>
      <c r="T71" s="3">
        <v>1</v>
      </c>
      <c r="U71" s="3"/>
      <c r="V71" s="3"/>
      <c r="W71" s="3"/>
      <c r="X71" s="3"/>
      <c r="Y71" s="3"/>
      <c r="Z71" s="3"/>
      <c r="AA71" s="3"/>
      <c r="AB71" s="3"/>
      <c r="AC71" s="3"/>
      <c r="AD71" s="3"/>
      <c r="AE71" s="3"/>
      <c r="AF71" s="3"/>
    </row>
    <row r="72" spans="1:32" ht="24" x14ac:dyDescent="0.2">
      <c r="A72" s="29" t="s">
        <v>14</v>
      </c>
      <c r="B72" s="26" t="s">
        <v>114</v>
      </c>
      <c r="C72" s="27"/>
      <c r="D72" s="28" t="str">
        <f>HYPERLINK("https://www2.ed.gov/admins/lead/account/stateplan17/inconsolidatedstateplan.pdf","IN's ESSA plan")</f>
        <v>IN's ESSA plan</v>
      </c>
      <c r="E72" s="26" t="s">
        <v>281</v>
      </c>
      <c r="F72" s="1"/>
      <c r="G72" s="1" t="s">
        <v>86</v>
      </c>
      <c r="H72" s="8" t="s">
        <v>73</v>
      </c>
      <c r="I72" s="3"/>
      <c r="J72" s="3"/>
      <c r="K72" s="3">
        <v>1</v>
      </c>
      <c r="L72" s="3">
        <v>1</v>
      </c>
      <c r="M72" s="3"/>
      <c r="N72" s="3">
        <v>1</v>
      </c>
      <c r="O72" s="3"/>
      <c r="P72" s="3"/>
      <c r="Q72" s="3"/>
      <c r="R72" s="3"/>
      <c r="S72" s="3"/>
      <c r="T72" s="3"/>
      <c r="U72" s="3"/>
      <c r="V72" s="3"/>
      <c r="W72" s="3"/>
      <c r="X72" s="3"/>
      <c r="Y72" s="3"/>
      <c r="Z72" s="3"/>
      <c r="AA72" s="3"/>
      <c r="AB72" s="3"/>
      <c r="AC72" s="3"/>
      <c r="AD72" s="3"/>
      <c r="AE72" s="3"/>
      <c r="AF72" s="3"/>
    </row>
    <row r="73" spans="1:32" ht="264" x14ac:dyDescent="0.2">
      <c r="A73" s="29" t="s">
        <v>14</v>
      </c>
      <c r="B73" s="26" t="s">
        <v>72</v>
      </c>
      <c r="C73" s="27">
        <v>42853</v>
      </c>
      <c r="D73" s="28" t="str">
        <f>HYPERLINK("https://iga.in.gov/legislative/2017/bills/senate/198#document-dc28e696","SB198")</f>
        <v>SB198</v>
      </c>
      <c r="E73" s="26" t="s">
        <v>279</v>
      </c>
      <c r="F73" s="21" t="str">
        <f>HYPERLINK("http://www.insideindianabusiness.com/story/34589263/cte-bill-passes-senate-committee","Source")</f>
        <v>Source</v>
      </c>
      <c r="G73" s="1"/>
      <c r="H73" s="8" t="s">
        <v>75</v>
      </c>
      <c r="I73" s="3">
        <v>1</v>
      </c>
      <c r="J73" s="3">
        <v>1</v>
      </c>
      <c r="K73" s="3"/>
      <c r="L73" s="3">
        <v>1</v>
      </c>
      <c r="M73" s="3"/>
      <c r="N73" s="3">
        <v>1</v>
      </c>
      <c r="O73" s="3"/>
      <c r="P73" s="3"/>
      <c r="Q73" s="3"/>
      <c r="R73" s="3"/>
      <c r="S73" s="3">
        <v>1</v>
      </c>
      <c r="T73" s="3"/>
      <c r="U73" s="3"/>
      <c r="V73" s="3"/>
      <c r="W73" s="3"/>
      <c r="X73" s="3"/>
      <c r="Y73" s="3"/>
      <c r="Z73" s="3"/>
      <c r="AA73" s="3"/>
      <c r="AB73" s="3"/>
      <c r="AC73" s="3"/>
      <c r="AD73" s="3"/>
      <c r="AE73" s="3"/>
      <c r="AF73" s="3"/>
    </row>
    <row r="74" spans="1:32" ht="36" x14ac:dyDescent="0.2">
      <c r="A74" s="29" t="s">
        <v>14</v>
      </c>
      <c r="B74" s="26" t="s">
        <v>72</v>
      </c>
      <c r="C74" s="27">
        <v>42851</v>
      </c>
      <c r="D74" s="28" t="str">
        <f>HYPERLINK("http://iga.in.gov/legislative/2017/bills/house/1281/#document-213cf0af","HB1281")</f>
        <v>HB1281</v>
      </c>
      <c r="E74" s="26" t="s">
        <v>118</v>
      </c>
      <c r="F74" s="1"/>
      <c r="G74" s="1"/>
      <c r="H74" s="8" t="s">
        <v>76</v>
      </c>
      <c r="I74" s="3">
        <v>1</v>
      </c>
      <c r="J74" s="3"/>
      <c r="K74" s="3"/>
      <c r="L74" s="3"/>
      <c r="M74" s="3"/>
      <c r="N74" s="3"/>
      <c r="O74" s="3"/>
      <c r="P74" s="3"/>
      <c r="Q74" s="3"/>
      <c r="R74" s="3"/>
      <c r="S74" s="3"/>
      <c r="T74" s="3"/>
      <c r="U74" s="3"/>
      <c r="V74" s="3">
        <v>1</v>
      </c>
      <c r="W74" s="3"/>
      <c r="X74" s="3"/>
      <c r="Y74" s="3"/>
      <c r="Z74" s="3"/>
      <c r="AA74" s="3"/>
      <c r="AB74" s="3"/>
      <c r="AC74" s="3"/>
      <c r="AD74" s="3"/>
      <c r="AE74" s="3"/>
      <c r="AF74" s="3"/>
    </row>
    <row r="75" spans="1:32" ht="108" x14ac:dyDescent="0.2">
      <c r="A75" s="29" t="s">
        <v>14</v>
      </c>
      <c r="B75" s="26" t="s">
        <v>72</v>
      </c>
      <c r="C75" s="27">
        <v>42853</v>
      </c>
      <c r="D75" s="28" t="str">
        <f>HYPERLINK("http://iga.in.gov/legislative/2017/bills/house/1003/","HB1003")</f>
        <v>HB1003</v>
      </c>
      <c r="E75" s="26" t="s">
        <v>280</v>
      </c>
      <c r="F75" s="21" t="str">
        <f>HYPERLINK("https://www.ibj.com/articles/63670-ritz-a-common-sense-way-to-college--and-career-readiness","Source")</f>
        <v>Source</v>
      </c>
      <c r="G75" s="1"/>
      <c r="H75" s="8" t="s">
        <v>73</v>
      </c>
      <c r="I75" s="3"/>
      <c r="J75" s="3">
        <v>1</v>
      </c>
      <c r="K75" s="3"/>
      <c r="L75" s="3">
        <v>1</v>
      </c>
      <c r="M75" s="3">
        <v>1</v>
      </c>
      <c r="N75" s="3"/>
      <c r="O75" s="3"/>
      <c r="P75" s="3"/>
      <c r="Q75" s="3"/>
      <c r="R75" s="3"/>
      <c r="S75" s="3"/>
      <c r="T75" s="3"/>
      <c r="U75" s="3"/>
      <c r="V75" s="3"/>
      <c r="W75" s="3"/>
      <c r="X75" s="3"/>
      <c r="Y75" s="3"/>
      <c r="Z75" s="3"/>
      <c r="AA75" s="3"/>
      <c r="AB75" s="3"/>
      <c r="AC75" s="3"/>
      <c r="AD75" s="3"/>
      <c r="AE75" s="3"/>
      <c r="AF75" s="3"/>
    </row>
    <row r="76" spans="1:32" ht="72" x14ac:dyDescent="0.2">
      <c r="A76" s="29" t="s">
        <v>15</v>
      </c>
      <c r="B76" s="26" t="s">
        <v>74</v>
      </c>
      <c r="C76" s="27">
        <v>42767</v>
      </c>
      <c r="D76" s="28" t="str">
        <f>HYPERLINK("https://www.legis.iowa.gov/legislation/BillBook?ga=87&amp;ba=SF130","SF130")</f>
        <v>SF130</v>
      </c>
      <c r="E76" s="26" t="s">
        <v>119</v>
      </c>
      <c r="F76" s="1"/>
      <c r="G76" s="1"/>
      <c r="H76" s="8" t="s">
        <v>76</v>
      </c>
      <c r="I76" s="3">
        <v>1</v>
      </c>
      <c r="J76" s="3"/>
      <c r="K76" s="3"/>
      <c r="L76" s="3"/>
      <c r="M76" s="3"/>
      <c r="N76" s="3"/>
      <c r="O76" s="3"/>
      <c r="P76" s="3"/>
      <c r="Q76" s="3"/>
      <c r="R76" s="3"/>
      <c r="S76" s="3"/>
      <c r="T76" s="3"/>
      <c r="U76" s="3"/>
      <c r="V76" s="3"/>
      <c r="W76" s="3"/>
      <c r="X76" s="3"/>
      <c r="Y76" s="3"/>
      <c r="Z76" s="3"/>
      <c r="AA76" s="3"/>
      <c r="AB76" s="3"/>
      <c r="AC76" s="3"/>
      <c r="AD76" s="3"/>
      <c r="AE76" s="3"/>
      <c r="AF76" s="3"/>
    </row>
    <row r="77" spans="1:32" ht="36" x14ac:dyDescent="0.2">
      <c r="A77" s="29" t="s">
        <v>15</v>
      </c>
      <c r="B77" s="26" t="s">
        <v>74</v>
      </c>
      <c r="C77" s="27">
        <v>42867</v>
      </c>
      <c r="D77" s="28" t="str">
        <f>HYPERLINK("https://www.legis.iowa.gov/legislation/BillBook?ga=87&amp;ba=HF642","HF642")</f>
        <v>HF642</v>
      </c>
      <c r="E77" s="26" t="s">
        <v>246</v>
      </c>
      <c r="F77" s="1"/>
      <c r="G77" s="1"/>
      <c r="H77" s="8" t="s">
        <v>76</v>
      </c>
      <c r="I77" s="3">
        <v>1</v>
      </c>
      <c r="J77" s="3"/>
      <c r="K77" s="3"/>
      <c r="L77" s="3"/>
      <c r="M77" s="3"/>
      <c r="N77" s="3"/>
      <c r="O77" s="3"/>
      <c r="P77" s="3"/>
      <c r="Q77" s="3"/>
      <c r="R77" s="3"/>
      <c r="S77" s="3"/>
      <c r="T77" s="3"/>
      <c r="U77" s="3"/>
      <c r="V77" s="3"/>
      <c r="W77" s="3"/>
      <c r="X77" s="3"/>
      <c r="Y77" s="3"/>
      <c r="Z77" s="1"/>
      <c r="AA77" s="1"/>
      <c r="AB77" s="1"/>
      <c r="AC77" s="1"/>
      <c r="AD77" s="1"/>
      <c r="AE77" s="1"/>
      <c r="AF77" s="1"/>
    </row>
    <row r="78" spans="1:32" ht="96" x14ac:dyDescent="0.2">
      <c r="A78" s="29" t="s">
        <v>15</v>
      </c>
      <c r="B78" s="26" t="s">
        <v>72</v>
      </c>
      <c r="C78" s="27">
        <v>42853</v>
      </c>
      <c r="D78" s="32" t="str">
        <f>HYPERLINK("https://www.legis.iowa.gov/legislation/BillBook?ga=87&amp;ba=SF274","SF274")</f>
        <v>SF274</v>
      </c>
      <c r="E78" s="26" t="s">
        <v>364</v>
      </c>
      <c r="F78" s="11" t="str">
        <f>HYPERLINK("http://www.radioiowa.com/2017/05/01/lt-governor-promises-funds-coming-for-teachers-hoping-to-learn-new-computer-skills/","Source")</f>
        <v>Source</v>
      </c>
      <c r="G78" s="1"/>
      <c r="H78" s="8" t="s">
        <v>73</v>
      </c>
      <c r="I78" s="1"/>
      <c r="J78" s="1"/>
      <c r="K78" s="1"/>
      <c r="L78" s="1"/>
      <c r="M78" s="1">
        <v>1</v>
      </c>
      <c r="N78" s="1"/>
      <c r="O78" s="1"/>
      <c r="P78" s="1">
        <v>1</v>
      </c>
      <c r="Q78" s="1"/>
      <c r="R78" s="1"/>
      <c r="S78" s="1"/>
      <c r="T78" s="1">
        <v>1</v>
      </c>
      <c r="U78" s="1"/>
      <c r="V78" s="1"/>
      <c r="W78" s="1"/>
      <c r="X78" s="1"/>
      <c r="Y78" s="1"/>
      <c r="Z78" s="3"/>
      <c r="AA78" s="3"/>
      <c r="AB78" s="3"/>
      <c r="AC78" s="3"/>
      <c r="AD78" s="3"/>
      <c r="AE78" s="3"/>
      <c r="AF78" s="3"/>
    </row>
    <row r="79" spans="1:32" ht="36" x14ac:dyDescent="0.2">
      <c r="A79" s="29" t="s">
        <v>15</v>
      </c>
      <c r="B79" s="26" t="s">
        <v>72</v>
      </c>
      <c r="C79" s="27">
        <v>42845</v>
      </c>
      <c r="D79" s="28" t="str">
        <f>HYPERLINK("https://www.legis.iowa.gov/legislation/BillBook?ga=87&amp;ba=HF473","HF473")</f>
        <v>HF473</v>
      </c>
      <c r="E79" s="26" t="s">
        <v>282</v>
      </c>
      <c r="F79" s="21" t="str">
        <f>HYPERLINK("http://www.nationalskillscoalition.org/news/blog/iowa-law-expands-high-school-equivalency-diploma-options-for-students","Source")</f>
        <v>Source</v>
      </c>
      <c r="G79" s="1"/>
      <c r="H79" s="8" t="s">
        <v>120</v>
      </c>
      <c r="I79" s="3"/>
      <c r="J79" s="3"/>
      <c r="K79" s="3"/>
      <c r="L79" s="3"/>
      <c r="M79" s="3">
        <v>1</v>
      </c>
      <c r="N79" s="3"/>
      <c r="O79" s="3"/>
      <c r="P79" s="3"/>
      <c r="Q79" s="3"/>
      <c r="R79" s="3"/>
      <c r="S79" s="3"/>
      <c r="T79" s="3"/>
      <c r="U79" s="3"/>
      <c r="V79" s="3"/>
      <c r="W79" s="3"/>
      <c r="X79" s="3"/>
      <c r="Y79" s="3"/>
      <c r="Z79" s="3"/>
      <c r="AA79" s="3"/>
      <c r="AB79" s="3"/>
      <c r="AC79" s="3"/>
      <c r="AD79" s="3"/>
      <c r="AE79" s="3"/>
      <c r="AF79" s="3"/>
    </row>
    <row r="80" spans="1:32" ht="60" x14ac:dyDescent="0.2">
      <c r="A80" s="29" t="s">
        <v>16</v>
      </c>
      <c r="B80" s="26" t="s">
        <v>72</v>
      </c>
      <c r="C80" s="27">
        <v>42901</v>
      </c>
      <c r="D80" s="28" t="str">
        <f>HYPERLINK("http://kslegislature.org/li/b2017_18/measures/sb19/","SB19")</f>
        <v>SB19</v>
      </c>
      <c r="E80" s="26" t="s">
        <v>283</v>
      </c>
      <c r="F80" s="1"/>
      <c r="G80" s="1"/>
      <c r="H80" s="8" t="s">
        <v>73</v>
      </c>
      <c r="I80" s="3">
        <v>1</v>
      </c>
      <c r="J80" s="3"/>
      <c r="K80" s="3"/>
      <c r="L80" s="3"/>
      <c r="M80" s="3"/>
      <c r="N80" s="3">
        <v>1</v>
      </c>
      <c r="O80" s="3"/>
      <c r="P80" s="3"/>
      <c r="Q80" s="3"/>
      <c r="R80" s="3"/>
      <c r="S80" s="3"/>
      <c r="T80" s="3"/>
      <c r="U80" s="3"/>
      <c r="V80" s="3"/>
      <c r="W80" s="3"/>
      <c r="X80" s="3"/>
      <c r="Y80" s="3"/>
      <c r="Z80" s="5"/>
      <c r="AA80" s="5"/>
      <c r="AB80" s="5"/>
      <c r="AC80" s="5"/>
      <c r="AD80" s="5"/>
      <c r="AE80" s="5"/>
      <c r="AF80" s="5"/>
    </row>
    <row r="81" spans="1:32" ht="168" x14ac:dyDescent="0.2">
      <c r="A81" s="29" t="s">
        <v>17</v>
      </c>
      <c r="B81" s="26" t="s">
        <v>96</v>
      </c>
      <c r="C81" s="31">
        <v>42969</v>
      </c>
      <c r="D81" s="28" t="str">
        <f>HYPERLINK("https://education.ky.gov/comm/news/Documents/R17-106%20Computer%20Science%20Initiative%20FINAL.pdf","Computer Science Initiative")</f>
        <v>Computer Science Initiative</v>
      </c>
      <c r="E81" s="26" t="s">
        <v>124</v>
      </c>
      <c r="F81" s="21" t="str">
        <f>HYPERLINK("http://www.kentucky.com/news/local/education/article169684202.html","Source")</f>
        <v>Source</v>
      </c>
      <c r="G81" s="1"/>
      <c r="H81" s="8" t="s">
        <v>73</v>
      </c>
      <c r="I81" s="3">
        <v>1</v>
      </c>
      <c r="J81" s="3"/>
      <c r="K81" s="3"/>
      <c r="L81" s="3">
        <v>1</v>
      </c>
      <c r="M81" s="3">
        <v>1</v>
      </c>
      <c r="N81" s="3"/>
      <c r="O81" s="3"/>
      <c r="P81" s="3">
        <v>1</v>
      </c>
      <c r="Q81" s="3"/>
      <c r="R81" s="3">
        <v>1</v>
      </c>
      <c r="S81" s="3"/>
      <c r="T81" s="3"/>
      <c r="U81" s="3"/>
      <c r="V81" s="3"/>
      <c r="W81" s="3"/>
      <c r="X81" s="3"/>
      <c r="Y81" s="3"/>
      <c r="Z81" s="5"/>
      <c r="AA81" s="5"/>
      <c r="AB81" s="5"/>
      <c r="AC81" s="5"/>
      <c r="AD81" s="5"/>
      <c r="AE81" s="5"/>
      <c r="AF81" s="5"/>
    </row>
    <row r="82" spans="1:32" ht="60" x14ac:dyDescent="0.2">
      <c r="A82" s="29" t="s">
        <v>17</v>
      </c>
      <c r="B82" s="26" t="s">
        <v>96</v>
      </c>
      <c r="C82" s="31"/>
      <c r="D82" s="28" t="str">
        <f>HYPERLINK("http://cpe.ky.gov/pg/index.html","Project Graduate")</f>
        <v>Project Graduate</v>
      </c>
      <c r="E82" s="26" t="s">
        <v>122</v>
      </c>
      <c r="F82" s="21" t="str">
        <f>HYPERLINK("http://www.lanereport.com/83051/2017/10/cpe-kentucky-universities-stepping-up-adult-college-completion-efforts/","Source")</f>
        <v>Source</v>
      </c>
      <c r="G82" s="1"/>
      <c r="H82" s="8" t="s">
        <v>123</v>
      </c>
      <c r="I82" s="3"/>
      <c r="J82" s="3"/>
      <c r="K82" s="3">
        <v>1</v>
      </c>
      <c r="L82" s="3">
        <v>1</v>
      </c>
      <c r="M82" s="3"/>
      <c r="N82" s="3"/>
      <c r="O82" s="3"/>
      <c r="P82" s="3"/>
      <c r="Q82" s="3"/>
      <c r="R82" s="3"/>
      <c r="S82" s="3">
        <v>1</v>
      </c>
      <c r="T82" s="3"/>
      <c r="U82" s="3"/>
      <c r="V82" s="3">
        <v>1</v>
      </c>
      <c r="W82" s="3"/>
      <c r="X82" s="3"/>
      <c r="Y82" s="3">
        <v>1</v>
      </c>
      <c r="Z82" s="1"/>
      <c r="AA82" s="1"/>
      <c r="AB82" s="1"/>
      <c r="AC82" s="1"/>
      <c r="AD82" s="1"/>
      <c r="AE82" s="1"/>
      <c r="AF82" s="1"/>
    </row>
    <row r="83" spans="1:32" ht="84" x14ac:dyDescent="0.2">
      <c r="A83" s="29" t="s">
        <v>17</v>
      </c>
      <c r="B83" s="26" t="s">
        <v>72</v>
      </c>
      <c r="C83" s="27">
        <v>42815</v>
      </c>
      <c r="D83" s="28" t="str">
        <f>HYPERLINK("http://www.lrc.ky.gov/record/17RS/SB153.htm","SB153")</f>
        <v>SB153</v>
      </c>
      <c r="E83" s="26" t="s">
        <v>284</v>
      </c>
      <c r="F83" s="21" t="str">
        <f>HYPERLINK("http://www.kentucky.com/news/local/education/article134100119.html","Source")</f>
        <v>Source</v>
      </c>
      <c r="G83" s="1"/>
      <c r="H83" s="8" t="s">
        <v>76</v>
      </c>
      <c r="I83" s="3">
        <v>1</v>
      </c>
      <c r="J83" s="3"/>
      <c r="K83" s="3"/>
      <c r="L83" s="3"/>
      <c r="M83" s="3"/>
      <c r="N83" s="3">
        <v>1</v>
      </c>
      <c r="O83" s="3">
        <v>1</v>
      </c>
      <c r="P83" s="3"/>
      <c r="Q83" s="3"/>
      <c r="R83" s="3"/>
      <c r="S83" s="3"/>
      <c r="T83" s="3"/>
      <c r="U83" s="3"/>
      <c r="V83" s="3"/>
      <c r="W83" s="3"/>
      <c r="X83" s="3"/>
      <c r="Y83" s="3"/>
      <c r="Z83" s="3"/>
      <c r="AA83" s="3"/>
      <c r="AB83" s="3"/>
      <c r="AC83" s="3"/>
      <c r="AD83" s="3"/>
      <c r="AE83" s="3"/>
      <c r="AF83" s="3"/>
    </row>
    <row r="84" spans="1:32" ht="240" x14ac:dyDescent="0.2">
      <c r="A84" s="29" t="s">
        <v>17</v>
      </c>
      <c r="B84" s="26" t="s">
        <v>72</v>
      </c>
      <c r="C84" s="27">
        <v>42835</v>
      </c>
      <c r="D84" s="33" t="str">
        <f>HYPERLINK("http://www.lrc.ky.gov/record/17RS/SB1.htm","SB 1")</f>
        <v>SB 1</v>
      </c>
      <c r="E84" s="26" t="s">
        <v>285</v>
      </c>
      <c r="F84" s="21" t="str">
        <f>HYPERLINK("https://www.usnews.com/news/best-states/kentucky/articles/2017-03-29/kentucky-lawmakers-begin-2-day-wrapup-session","Source")</f>
        <v>Source</v>
      </c>
      <c r="G84" s="1" t="s">
        <v>86</v>
      </c>
      <c r="H84" s="8" t="s">
        <v>73</v>
      </c>
      <c r="I84" s="3"/>
      <c r="J84" s="3">
        <v>1</v>
      </c>
      <c r="K84" s="3">
        <v>1</v>
      </c>
      <c r="L84" s="3">
        <v>1</v>
      </c>
      <c r="M84" s="3"/>
      <c r="N84" s="3">
        <v>1</v>
      </c>
      <c r="O84" s="3"/>
      <c r="P84" s="3"/>
      <c r="Q84" s="3">
        <v>1</v>
      </c>
      <c r="R84" s="3"/>
      <c r="S84" s="3"/>
      <c r="T84" s="3"/>
      <c r="U84" s="3"/>
      <c r="V84" s="3"/>
      <c r="W84" s="3"/>
      <c r="X84" s="3"/>
      <c r="Y84" s="3"/>
      <c r="Z84" s="3"/>
      <c r="AA84" s="3"/>
      <c r="AB84" s="3"/>
      <c r="AC84" s="3"/>
      <c r="AD84" s="3"/>
      <c r="AE84" s="3"/>
      <c r="AF84" s="3"/>
    </row>
    <row r="85" spans="1:32" ht="36" x14ac:dyDescent="0.2">
      <c r="A85" s="29" t="s">
        <v>17</v>
      </c>
      <c r="B85" s="26" t="s">
        <v>72</v>
      </c>
      <c r="C85" s="31">
        <v>42835</v>
      </c>
      <c r="D85" s="28" t="str">
        <f>HYPERLINK("http://www.lrc.ky.gov/record/17RS/HB206.htm","HB206")</f>
        <v>HB206</v>
      </c>
      <c r="E85" s="26" t="s">
        <v>286</v>
      </c>
      <c r="F85" s="21" t="str">
        <f>HYPERLINK("http://www.nationalskillscoalition.org/resources/publications/file/2017-Legislative-Roundup.pdf","Source")</f>
        <v>Source</v>
      </c>
      <c r="G85" s="1"/>
      <c r="H85" s="8" t="s">
        <v>81</v>
      </c>
      <c r="I85" s="3">
        <v>1</v>
      </c>
      <c r="J85" s="3">
        <v>1</v>
      </c>
      <c r="K85" s="3">
        <v>1</v>
      </c>
      <c r="L85" s="3"/>
      <c r="M85" s="3"/>
      <c r="N85" s="3"/>
      <c r="O85" s="3"/>
      <c r="P85" s="3"/>
      <c r="Q85" s="3"/>
      <c r="R85" s="3"/>
      <c r="S85" s="3"/>
      <c r="T85" s="3"/>
      <c r="U85" s="3"/>
      <c r="V85" s="3"/>
      <c r="W85" s="3"/>
      <c r="X85" s="3"/>
      <c r="Y85" s="3"/>
      <c r="Z85" s="3"/>
      <c r="AA85" s="3"/>
      <c r="AB85" s="3"/>
      <c r="AC85" s="3"/>
      <c r="AD85" s="3"/>
      <c r="AE85" s="3"/>
      <c r="AF85" s="3"/>
    </row>
    <row r="86" spans="1:32" ht="48" x14ac:dyDescent="0.2">
      <c r="A86" s="29" t="s">
        <v>18</v>
      </c>
      <c r="B86" s="26" t="s">
        <v>114</v>
      </c>
      <c r="C86" s="26"/>
      <c r="D86" s="28" t="str">
        <f>HYPERLINK("http://www.boarddocs.com/la/bese/Board.nsf/files/ANBJ9S4C223A/$file/_AGII_4.2_Pre-Engineering_Course_Offerings_June_2017.pdf","Pre-Engineering Course Offerings")</f>
        <v>Pre-Engineering Course Offerings</v>
      </c>
      <c r="E86" s="26" t="s">
        <v>366</v>
      </c>
      <c r="F86" s="21" t="str">
        <f>HYPERLINK("http://www.theadvocate.com/baton_rouge/news/education/article_6c94c2ec-55c0-11e7-8255-935bd0df4147.html","Source")</f>
        <v>Source</v>
      </c>
      <c r="G86" s="1"/>
      <c r="H86" s="8" t="s">
        <v>81</v>
      </c>
      <c r="I86" s="3"/>
      <c r="J86" s="3"/>
      <c r="K86" s="3">
        <v>1</v>
      </c>
      <c r="L86" s="3"/>
      <c r="M86" s="3"/>
      <c r="N86" s="3"/>
      <c r="O86" s="3">
        <v>1</v>
      </c>
      <c r="P86" s="3"/>
      <c r="Q86" s="3"/>
      <c r="R86" s="3"/>
      <c r="S86" s="3"/>
      <c r="T86" s="3"/>
      <c r="U86" s="3"/>
      <c r="V86" s="3"/>
      <c r="W86" s="3"/>
      <c r="X86" s="3"/>
      <c r="Y86" s="3"/>
      <c r="AB86" s="5"/>
      <c r="AC86" s="5"/>
      <c r="AD86" s="5"/>
      <c r="AE86" s="5"/>
      <c r="AF86" s="5"/>
    </row>
    <row r="87" spans="1:32" ht="24" x14ac:dyDescent="0.2">
      <c r="A87" s="29" t="s">
        <v>18</v>
      </c>
      <c r="B87" s="26" t="s">
        <v>114</v>
      </c>
      <c r="C87" s="27"/>
      <c r="D87" s="28" t="str">
        <f>HYPERLINK("https://www.louisianabelieves.com/docs/default-source/louisiana-believes/louisianas-essa-state-plan.pdf?sfvrsn=4","LA's ESSA plan")</f>
        <v>LA's ESSA plan</v>
      </c>
      <c r="E87" s="26" t="s">
        <v>127</v>
      </c>
      <c r="F87" s="1"/>
      <c r="G87" s="1" t="s">
        <v>86</v>
      </c>
      <c r="H87" s="8" t="s">
        <v>73</v>
      </c>
      <c r="I87" s="3"/>
      <c r="J87" s="3"/>
      <c r="K87" s="3">
        <v>1</v>
      </c>
      <c r="L87" s="3">
        <v>1</v>
      </c>
      <c r="M87" s="3"/>
      <c r="N87" s="3">
        <v>1</v>
      </c>
      <c r="O87" s="3"/>
      <c r="P87" s="3"/>
      <c r="Q87" s="3"/>
      <c r="R87" s="3"/>
      <c r="S87" s="3"/>
      <c r="T87" s="3"/>
      <c r="U87" s="3"/>
      <c r="V87" s="3"/>
      <c r="W87" s="3"/>
      <c r="X87" s="3"/>
      <c r="Y87" s="3"/>
      <c r="AB87" s="5"/>
      <c r="AC87" s="5"/>
      <c r="AD87" s="5"/>
      <c r="AE87" s="5"/>
      <c r="AF87" s="5"/>
    </row>
    <row r="88" spans="1:32" ht="60" x14ac:dyDescent="0.2">
      <c r="A88" s="29" t="s">
        <v>18</v>
      </c>
      <c r="B88" s="26" t="s">
        <v>72</v>
      </c>
      <c r="C88" s="27">
        <v>42909</v>
      </c>
      <c r="D88" s="28" t="str">
        <f>HYPERLINK("http://www.legis.la.gov/legis/BillInfo.aspx?s=17rs&amp;b=SB102&amp;sbi=y","SB102")</f>
        <v>SB102</v>
      </c>
      <c r="E88" s="26" t="s">
        <v>365</v>
      </c>
      <c r="F88" s="1"/>
      <c r="G88" s="1"/>
      <c r="H88" s="8" t="s">
        <v>78</v>
      </c>
      <c r="I88" s="3">
        <v>1</v>
      </c>
      <c r="J88" s="3"/>
      <c r="K88" s="3"/>
      <c r="L88" s="3">
        <v>1</v>
      </c>
      <c r="M88" s="3"/>
      <c r="N88" s="3"/>
      <c r="O88" s="3"/>
      <c r="P88" s="3"/>
      <c r="Q88" s="3"/>
      <c r="R88" s="3"/>
      <c r="S88" s="3"/>
      <c r="T88" s="3"/>
      <c r="U88" s="3"/>
      <c r="V88" s="3"/>
      <c r="W88" s="3"/>
      <c r="X88" s="3"/>
      <c r="Y88" s="3"/>
      <c r="AB88" s="5"/>
      <c r="AC88" s="5"/>
      <c r="AD88" s="5"/>
      <c r="AE88" s="5"/>
      <c r="AF88" s="5"/>
    </row>
    <row r="89" spans="1:32" ht="84" x14ac:dyDescent="0.2">
      <c r="A89" s="29" t="s">
        <v>18</v>
      </c>
      <c r="B89" s="26" t="s">
        <v>72</v>
      </c>
      <c r="C89" s="27">
        <v>42909</v>
      </c>
      <c r="D89" s="28" t="str">
        <f>HYPERLINK("http://www.legis.la.gov/legis/BillInfo.aspx?s=17rs&amp;b=SB225&amp;sbi=y","SB225")</f>
        <v>SB225</v>
      </c>
      <c r="E89" s="26" t="s">
        <v>288</v>
      </c>
      <c r="F89" s="7" t="str">
        <f>HYPERLINK("http://www.theadvocate.com/baton_rouge/news/education/article_5e91261e-e048-11e7-87fd-5f156549dc99.html","Source")</f>
        <v>Source</v>
      </c>
      <c r="G89" s="1"/>
      <c r="H89" s="8" t="s">
        <v>73</v>
      </c>
      <c r="I89" s="3">
        <v>1</v>
      </c>
      <c r="J89" s="3">
        <v>1</v>
      </c>
      <c r="K89" s="3"/>
      <c r="L89" s="3"/>
      <c r="M89" s="3">
        <v>1</v>
      </c>
      <c r="N89" s="3"/>
      <c r="O89" s="3">
        <v>1</v>
      </c>
      <c r="P89" s="3"/>
      <c r="Q89" s="3"/>
      <c r="R89" s="3">
        <v>1</v>
      </c>
      <c r="S89" s="3"/>
      <c r="T89" s="3">
        <v>1</v>
      </c>
      <c r="U89" s="3"/>
      <c r="V89" s="3"/>
      <c r="W89" s="3"/>
      <c r="X89" s="3"/>
      <c r="Y89" s="3"/>
      <c r="AB89" s="5"/>
      <c r="AC89" s="5"/>
      <c r="AD89" s="5"/>
      <c r="AE89" s="5"/>
      <c r="AF89" s="5"/>
    </row>
    <row r="90" spans="1:32" ht="24" x14ac:dyDescent="0.2">
      <c r="A90" s="29" t="s">
        <v>18</v>
      </c>
      <c r="B90" s="26" t="s">
        <v>72</v>
      </c>
      <c r="C90" s="27">
        <v>42887</v>
      </c>
      <c r="D90" s="28" t="str">
        <f>HYPERLINK("http://www.legis.la.gov/legis/BillInfo.aspx?s=17rs&amp;b=HCR14&amp;sbi=y","HCR14")</f>
        <v>HCR14</v>
      </c>
      <c r="E90" s="26" t="s">
        <v>126</v>
      </c>
      <c r="F90" s="1"/>
      <c r="G90" s="1"/>
      <c r="H90" s="8" t="s">
        <v>73</v>
      </c>
      <c r="I90" s="3"/>
      <c r="J90" s="3"/>
      <c r="K90" s="3"/>
      <c r="L90" s="3"/>
      <c r="M90" s="3">
        <v>1</v>
      </c>
      <c r="N90" s="3"/>
      <c r="O90" s="3"/>
      <c r="P90" s="3"/>
      <c r="Q90" s="3"/>
      <c r="R90" s="3"/>
      <c r="S90" s="3"/>
      <c r="T90" s="3"/>
      <c r="U90" s="3"/>
      <c r="V90" s="3"/>
      <c r="W90" s="3"/>
      <c r="X90" s="3"/>
      <c r="Y90" s="3"/>
      <c r="AB90" s="5"/>
      <c r="AC90" s="5"/>
      <c r="AD90" s="5"/>
      <c r="AE90" s="5"/>
      <c r="AF90" s="5"/>
    </row>
    <row r="91" spans="1:32" ht="48" x14ac:dyDescent="0.2">
      <c r="A91" s="29" t="s">
        <v>18</v>
      </c>
      <c r="B91" s="26" t="s">
        <v>96</v>
      </c>
      <c r="C91" s="26"/>
      <c r="D91" s="28" t="s">
        <v>287</v>
      </c>
      <c r="E91" s="26" t="s">
        <v>125</v>
      </c>
      <c r="F91" s="21" t="str">
        <f>HYPERLINK("https://www.usnews.com/news/best-states/louisiana/articles/2017-03-08/louisiana-community-technical-college-campuses-to-merge","Source")</f>
        <v>Source</v>
      </c>
      <c r="G91" s="1"/>
      <c r="H91" s="8" t="s">
        <v>76</v>
      </c>
      <c r="I91" s="3"/>
      <c r="J91" s="3"/>
      <c r="K91" s="3"/>
      <c r="L91" s="3"/>
      <c r="M91" s="3"/>
      <c r="N91" s="3"/>
      <c r="O91" s="3"/>
      <c r="P91" s="3"/>
      <c r="Q91" s="3"/>
      <c r="R91" s="3"/>
      <c r="S91" s="3"/>
      <c r="T91" s="3">
        <v>1</v>
      </c>
      <c r="U91" s="3"/>
      <c r="V91" s="3"/>
      <c r="W91" s="3"/>
      <c r="X91" s="3"/>
      <c r="Y91" s="3"/>
      <c r="Z91" s="3"/>
      <c r="AA91" s="3"/>
      <c r="AB91" s="3"/>
      <c r="AC91" s="3"/>
      <c r="AD91" s="3"/>
      <c r="AE91" s="3"/>
      <c r="AF91" s="3"/>
    </row>
    <row r="92" spans="1:32" ht="36" x14ac:dyDescent="0.2">
      <c r="A92" s="29" t="s">
        <v>19</v>
      </c>
      <c r="B92" s="26" t="s">
        <v>74</v>
      </c>
      <c r="C92" s="27"/>
      <c r="D92" s="28" t="str">
        <f>HYPERLINK("http://www.mainesenate.org/legislature-enacts-budget-end-government-shutdown/","FY18-19 budget")</f>
        <v>FY18-19 budget</v>
      </c>
      <c r="E92" s="26" t="s">
        <v>129</v>
      </c>
      <c r="F92" s="7" t="str">
        <f>HYPERLINK("http://www.seacoastonline.com/news/20170727/latest-from-state-house","Source")</f>
        <v>Source</v>
      </c>
      <c r="G92" s="1"/>
      <c r="H92" s="8" t="s">
        <v>130</v>
      </c>
      <c r="I92" s="3">
        <v>1</v>
      </c>
      <c r="J92" s="3"/>
      <c r="K92" s="3"/>
      <c r="L92" s="3"/>
      <c r="M92" s="3"/>
      <c r="N92" s="3"/>
      <c r="O92" s="3"/>
      <c r="P92" s="3"/>
      <c r="Q92" s="3"/>
      <c r="R92" s="3"/>
      <c r="S92" s="3"/>
      <c r="T92" s="3"/>
      <c r="U92" s="3"/>
      <c r="V92" s="3"/>
      <c r="W92" s="3"/>
      <c r="X92" s="3"/>
      <c r="Y92" s="3"/>
      <c r="AB92" s="5"/>
      <c r="AC92" s="5"/>
      <c r="AD92" s="5"/>
      <c r="AE92" s="5"/>
      <c r="AF92" s="5"/>
    </row>
    <row r="93" spans="1:32" ht="24" x14ac:dyDescent="0.2">
      <c r="A93" s="29" t="s">
        <v>19</v>
      </c>
      <c r="B93" s="26" t="s">
        <v>72</v>
      </c>
      <c r="C93" s="27">
        <v>42913</v>
      </c>
      <c r="D93" s="28" t="str">
        <f>HYPERLINK("http://legislature.maine.gov/legis/bills/display_ps.asp?LD=1638&amp;snum=128","LD1638")</f>
        <v>LD1638</v>
      </c>
      <c r="E93" s="26" t="s">
        <v>289</v>
      </c>
      <c r="F93" s="1"/>
      <c r="G93" s="1" t="s">
        <v>128</v>
      </c>
      <c r="H93" s="8" t="s">
        <v>78</v>
      </c>
      <c r="I93" s="3"/>
      <c r="J93" s="3"/>
      <c r="K93" s="3"/>
      <c r="L93" s="3">
        <v>1</v>
      </c>
      <c r="M93" s="3"/>
      <c r="N93" s="3">
        <v>1</v>
      </c>
      <c r="O93" s="3"/>
      <c r="P93" s="3"/>
      <c r="Q93" s="3"/>
      <c r="R93" s="3"/>
      <c r="S93" s="3"/>
      <c r="T93" s="3">
        <v>1</v>
      </c>
      <c r="U93" s="3"/>
      <c r="V93" s="3"/>
      <c r="W93" s="3"/>
      <c r="X93" s="3"/>
      <c r="Y93" s="3"/>
      <c r="AB93" s="5"/>
      <c r="AC93" s="5"/>
      <c r="AD93" s="5"/>
      <c r="AE93" s="5"/>
      <c r="AF93" s="5"/>
    </row>
    <row r="94" spans="1:32" ht="24" x14ac:dyDescent="0.2">
      <c r="A94" s="29" t="s">
        <v>19</v>
      </c>
      <c r="B94" s="26" t="s">
        <v>72</v>
      </c>
      <c r="C94" s="27">
        <v>42894</v>
      </c>
      <c r="D94" s="28" t="str">
        <f>HYPERLINK("http://legislature.maine.gov/legis/bills/display_ps.asp?LD=1576&amp;snum=128","LD1576")</f>
        <v>LD1576</v>
      </c>
      <c r="E94" s="26" t="s">
        <v>290</v>
      </c>
      <c r="F94" s="7" t="str">
        <f>HYPERLINK("https://wabi.tv/2017/05/11/proposed-bill-pushes-for-introduction-to-career-technical-programs-to-middle-schoolers/","Source")</f>
        <v>Source</v>
      </c>
      <c r="G94" s="1"/>
      <c r="H94" s="8" t="s">
        <v>73</v>
      </c>
      <c r="I94" s="3"/>
      <c r="J94" s="3"/>
      <c r="K94" s="3"/>
      <c r="L94" s="3"/>
      <c r="M94" s="3"/>
      <c r="N94" s="3"/>
      <c r="O94" s="3"/>
      <c r="P94" s="3"/>
      <c r="Q94" s="3"/>
      <c r="R94" s="3"/>
      <c r="S94" s="3"/>
      <c r="T94" s="3"/>
      <c r="U94" s="3"/>
      <c r="V94" s="3"/>
      <c r="W94" s="3"/>
      <c r="X94" s="3"/>
      <c r="Y94" s="3">
        <v>1</v>
      </c>
      <c r="Z94" s="3"/>
      <c r="AA94" s="3"/>
      <c r="AB94" s="3"/>
      <c r="AC94" s="3"/>
      <c r="AD94" s="3"/>
      <c r="AE94" s="3"/>
      <c r="AF94" s="3"/>
    </row>
    <row r="95" spans="1:32" ht="36" x14ac:dyDescent="0.2">
      <c r="A95" s="29" t="s">
        <v>19</v>
      </c>
      <c r="B95" s="26" t="s">
        <v>72</v>
      </c>
      <c r="C95" s="27">
        <v>42911</v>
      </c>
      <c r="D95" s="28" t="str">
        <f>HYPERLINK("http://legislature.maine.gov/legis/bills/display_ps.asp?LD=398&amp;snum=128","LD398")</f>
        <v>LD398</v>
      </c>
      <c r="E95" s="26" t="s">
        <v>131</v>
      </c>
      <c r="F95" s="1"/>
      <c r="G95" s="1"/>
      <c r="H95" s="8" t="s">
        <v>73</v>
      </c>
      <c r="I95" s="3"/>
      <c r="J95" s="3"/>
      <c r="K95" s="3"/>
      <c r="L95" s="3"/>
      <c r="M95" s="3"/>
      <c r="N95" s="3"/>
      <c r="O95" s="3">
        <v>1</v>
      </c>
      <c r="P95" s="3"/>
      <c r="Q95" s="3"/>
      <c r="R95" s="3"/>
      <c r="S95" s="3"/>
      <c r="T95" s="3">
        <v>1</v>
      </c>
      <c r="U95" s="3"/>
      <c r="V95" s="3"/>
      <c r="W95" s="3"/>
      <c r="X95" s="3"/>
      <c r="Y95" s="3"/>
      <c r="Z95" s="3"/>
      <c r="AA95" s="3"/>
      <c r="AB95" s="3"/>
      <c r="AC95" s="3"/>
      <c r="AD95" s="3"/>
      <c r="AE95" s="3"/>
      <c r="AF95" s="3"/>
    </row>
    <row r="96" spans="1:32" ht="60" x14ac:dyDescent="0.2">
      <c r="A96" s="29" t="s">
        <v>19</v>
      </c>
      <c r="B96" s="26" t="s">
        <v>72</v>
      </c>
      <c r="C96" s="27">
        <v>42887</v>
      </c>
      <c r="D96" s="28" t="str">
        <f>HYPERLINK("http://legislature.maine.gov/legis/bills/display_ps.asp?LD=1360&amp;snum=128","LD1360")</f>
        <v>LD1360</v>
      </c>
      <c r="E96" s="26" t="s">
        <v>132</v>
      </c>
      <c r="F96" s="1"/>
      <c r="G96" s="1" t="s">
        <v>128</v>
      </c>
      <c r="H96" s="8" t="s">
        <v>80</v>
      </c>
      <c r="I96" s="3"/>
      <c r="J96" s="3"/>
      <c r="K96" s="3"/>
      <c r="L96" s="3"/>
      <c r="M96" s="3"/>
      <c r="N96" s="3">
        <v>1</v>
      </c>
      <c r="O96" s="3"/>
      <c r="P96" s="3"/>
      <c r="Q96" s="3"/>
      <c r="R96" s="3"/>
      <c r="S96" s="3"/>
      <c r="T96" s="3">
        <v>1</v>
      </c>
      <c r="U96" s="3"/>
      <c r="V96" s="3"/>
      <c r="W96" s="3"/>
      <c r="X96" s="3"/>
      <c r="Y96" s="3"/>
      <c r="AB96" s="5"/>
      <c r="AC96" s="5"/>
      <c r="AD96" s="5"/>
      <c r="AE96" s="5"/>
      <c r="AF96" s="5"/>
    </row>
    <row r="97" spans="1:32" ht="48" x14ac:dyDescent="0.2">
      <c r="A97" s="29" t="s">
        <v>20</v>
      </c>
      <c r="B97" s="26" t="s">
        <v>114</v>
      </c>
      <c r="C97" s="27">
        <v>42878</v>
      </c>
      <c r="D97" s="28" t="str">
        <f>HYPERLINK("http://marylandpublicschools.org/stateboard/Documents/01242017/TabQ-13A.12.02.15-16.pdf","13A.12.02.15 &amp; 16")</f>
        <v>13A.12.02.15 &amp; 16</v>
      </c>
      <c r="E97" s="26" t="s">
        <v>135</v>
      </c>
      <c r="F97" s="1"/>
      <c r="G97" s="1"/>
      <c r="H97" s="8" t="s">
        <v>73</v>
      </c>
      <c r="I97" s="3"/>
      <c r="J97" s="3">
        <v>1</v>
      </c>
      <c r="K97" s="3"/>
      <c r="L97" s="3"/>
      <c r="M97" s="3"/>
      <c r="N97" s="3"/>
      <c r="O97" s="3"/>
      <c r="P97" s="3"/>
      <c r="Q97" s="3"/>
      <c r="R97" s="3">
        <v>1</v>
      </c>
      <c r="S97" s="3"/>
      <c r="T97" s="3"/>
      <c r="U97" s="3"/>
      <c r="V97" s="3"/>
      <c r="W97" s="3"/>
      <c r="X97" s="3"/>
      <c r="Y97" s="3"/>
      <c r="Z97" s="5"/>
      <c r="AA97" s="5"/>
      <c r="AB97" s="5"/>
      <c r="AC97" s="5"/>
      <c r="AD97" s="5"/>
      <c r="AE97" s="5"/>
      <c r="AF97" s="5"/>
    </row>
    <row r="98" spans="1:32" ht="120" x14ac:dyDescent="0.2">
      <c r="A98" s="29" t="s">
        <v>20</v>
      </c>
      <c r="B98" s="26" t="s">
        <v>111</v>
      </c>
      <c r="C98" s="27">
        <v>43041</v>
      </c>
      <c r="D98" s="28" t="str">
        <f>HYPERLINK("https://content.govdelivery.com/attachments/MDGOV/2017/11/02/file_attachments/907094/Executive%2BOrder%2B01.01.2017.27.pdf","Executive Order 01.01.2017.27")</f>
        <v>Executive Order 01.01.2017.27</v>
      </c>
      <c r="E98" s="26" t="s">
        <v>292</v>
      </c>
      <c r="F98" s="21" t="str">
        <f>HYPERLINK("http://governor.maryland.gov/2017/11/02/governor-larry-hogan-announces-comprehensive-initiative-to-boost-computer-science-workforce-development-statewide/","Source")</f>
        <v>Source</v>
      </c>
      <c r="G98" s="1"/>
      <c r="H98" s="8" t="s">
        <v>75</v>
      </c>
      <c r="I98" s="3">
        <v>1</v>
      </c>
      <c r="J98" s="3"/>
      <c r="K98" s="3"/>
      <c r="L98" s="3"/>
      <c r="M98" s="3"/>
      <c r="N98" s="3">
        <v>1</v>
      </c>
      <c r="O98" s="3">
        <v>1</v>
      </c>
      <c r="P98" s="3"/>
      <c r="Q98" s="3"/>
      <c r="R98" s="3">
        <v>1</v>
      </c>
      <c r="S98" s="3"/>
      <c r="T98" s="3"/>
      <c r="U98" s="3"/>
      <c r="V98" s="3"/>
      <c r="W98" s="3"/>
      <c r="X98" s="3"/>
      <c r="Y98" s="3">
        <v>1</v>
      </c>
      <c r="Z98" s="3"/>
      <c r="AA98" s="3"/>
      <c r="AB98" s="3"/>
      <c r="AC98" s="3"/>
      <c r="AD98" s="3"/>
      <c r="AE98" s="3"/>
      <c r="AF98" s="3"/>
    </row>
    <row r="99" spans="1:32" ht="84" x14ac:dyDescent="0.2">
      <c r="A99" s="29" t="s">
        <v>20</v>
      </c>
      <c r="B99" s="26" t="s">
        <v>72</v>
      </c>
      <c r="C99" s="27">
        <v>42880</v>
      </c>
      <c r="D99" s="28" t="str">
        <f>HYPERLINK("http://mgaleg.maryland.gov/webmga/frmMain.aspx?id=hb1381&amp;stab=01&amp;pid=billpage&amp;tab=subject3&amp;ys=2017rs","HB1381")</f>
        <v>HB1381</v>
      </c>
      <c r="E99" s="26" t="s">
        <v>367</v>
      </c>
      <c r="F99" s="21" t="str">
        <f>HYPERLINK("http://www.nationalskillscoalition.org/resources/publications/file/2017-Legislative-Roundup.pdf","Source")</f>
        <v>Source</v>
      </c>
      <c r="G99" s="1"/>
      <c r="H99" s="8" t="s">
        <v>77</v>
      </c>
      <c r="I99" s="3"/>
      <c r="J99" s="3"/>
      <c r="K99" s="3">
        <v>1</v>
      </c>
      <c r="L99" s="3">
        <v>1</v>
      </c>
      <c r="M99" s="3">
        <v>1</v>
      </c>
      <c r="N99" s="3"/>
      <c r="O99" s="3"/>
      <c r="P99" s="3"/>
      <c r="Q99" s="3"/>
      <c r="R99" s="3"/>
      <c r="S99" s="3"/>
      <c r="T99" s="3"/>
      <c r="U99" s="3"/>
      <c r="V99" s="3"/>
      <c r="W99" s="3"/>
      <c r="X99" s="3"/>
      <c r="Y99" s="3">
        <v>1</v>
      </c>
      <c r="Z99" s="3"/>
      <c r="AA99" s="3"/>
      <c r="AB99" s="3"/>
      <c r="AC99" s="3"/>
      <c r="AD99" s="3"/>
      <c r="AE99" s="3"/>
      <c r="AF99" s="3"/>
    </row>
    <row r="100" spans="1:32" ht="324" x14ac:dyDescent="0.2">
      <c r="A100" s="29" t="s">
        <v>20</v>
      </c>
      <c r="B100" s="26" t="s">
        <v>72</v>
      </c>
      <c r="C100" s="27">
        <v>42836</v>
      </c>
      <c r="D100" s="28" t="str">
        <f>HYPERLINK("http://mgaleg.maryland.gov/webmga/frmMain.aspx?id=sb0317&amp;stab=01&amp;pid=billpage&amp;tab=subject3&amp;ys=2017rs","SB317")</f>
        <v>SB317</v>
      </c>
      <c r="E100" s="26" t="s">
        <v>291</v>
      </c>
      <c r="F100" s="7" t="str">
        <f>HYPERLINK("http://www.baltimoresun.com/news/opinion/oped/bs-ed-workforce-skills-20170430-story.html","Source")</f>
        <v>Source</v>
      </c>
      <c r="G100" s="1"/>
      <c r="H100" s="8" t="s">
        <v>75</v>
      </c>
      <c r="I100" s="3">
        <v>1</v>
      </c>
      <c r="J100" s="3">
        <v>1</v>
      </c>
      <c r="K100" s="3"/>
      <c r="L100" s="3">
        <v>1</v>
      </c>
      <c r="M100" s="3"/>
      <c r="N100" s="3">
        <v>1</v>
      </c>
      <c r="O100" s="3"/>
      <c r="P100" s="3"/>
      <c r="Q100" s="3"/>
      <c r="R100" s="3"/>
      <c r="S100" s="3"/>
      <c r="T100" s="3">
        <v>1</v>
      </c>
      <c r="U100" s="3"/>
      <c r="V100" s="3"/>
      <c r="W100" s="3"/>
      <c r="X100" s="3"/>
      <c r="Y100" s="3"/>
      <c r="Z100" s="3"/>
      <c r="AA100" s="3"/>
      <c r="AB100" s="3"/>
      <c r="AC100" s="3"/>
      <c r="AD100" s="3"/>
      <c r="AE100" s="3"/>
      <c r="AF100" s="3"/>
    </row>
    <row r="101" spans="1:32" ht="36" x14ac:dyDescent="0.2">
      <c r="A101" s="29" t="s">
        <v>20</v>
      </c>
      <c r="B101" s="26" t="s">
        <v>72</v>
      </c>
      <c r="C101" s="27">
        <v>42882</v>
      </c>
      <c r="D101" s="28" t="str">
        <f>HYPERLINK("http://mgaleg.maryland.gov/webmga/frmMain.aspx?id=HB0680&amp;stab=01&amp;pid=billpage&amp;tab=subject3&amp;ys=2017rs","HB680")</f>
        <v>HB680</v>
      </c>
      <c r="E101" s="26" t="s">
        <v>133</v>
      </c>
      <c r="F101" s="1"/>
      <c r="G101" s="1"/>
      <c r="H101" s="8" t="s">
        <v>75</v>
      </c>
      <c r="I101" s="3"/>
      <c r="J101" s="3"/>
      <c r="K101" s="3"/>
      <c r="L101" s="3"/>
      <c r="M101" s="3"/>
      <c r="N101" s="3">
        <v>1</v>
      </c>
      <c r="O101" s="3"/>
      <c r="P101" s="3"/>
      <c r="Q101" s="3"/>
      <c r="R101" s="3"/>
      <c r="S101" s="3"/>
      <c r="T101" s="3"/>
      <c r="U101" s="3"/>
      <c r="V101" s="3"/>
      <c r="W101" s="3"/>
      <c r="X101" s="3"/>
      <c r="Y101" s="3"/>
      <c r="Z101" s="3"/>
      <c r="AA101" s="3"/>
      <c r="AB101" s="3"/>
      <c r="AC101" s="3"/>
      <c r="AD101" s="3"/>
      <c r="AE101" s="3"/>
      <c r="AF101" s="3"/>
    </row>
    <row r="102" spans="1:32" ht="60" x14ac:dyDescent="0.2">
      <c r="A102" s="29" t="s">
        <v>20</v>
      </c>
      <c r="B102" s="26" t="s">
        <v>72</v>
      </c>
      <c r="C102" s="27">
        <v>42831</v>
      </c>
      <c r="D102" s="28" t="str">
        <f>HYPERLINK("http://mgaleg.maryland.gov/webmga/frmMain.aspx?pid=billpage&amp;stab=01&amp;id=hb0978&amp;tab=subject3&amp;ys=2017rs","HB978")</f>
        <v>HB978</v>
      </c>
      <c r="E102" s="26" t="s">
        <v>134</v>
      </c>
      <c r="F102" s="1"/>
      <c r="G102" s="1" t="s">
        <v>86</v>
      </c>
      <c r="H102" s="8" t="s">
        <v>73</v>
      </c>
      <c r="I102" s="3"/>
      <c r="J102" s="3">
        <v>1</v>
      </c>
      <c r="K102" s="3">
        <v>1</v>
      </c>
      <c r="L102" s="3">
        <v>1</v>
      </c>
      <c r="M102" s="3"/>
      <c r="N102" s="3">
        <v>1</v>
      </c>
      <c r="O102" s="3"/>
      <c r="P102" s="3"/>
      <c r="Q102" s="3"/>
      <c r="R102" s="3"/>
      <c r="S102" s="3"/>
      <c r="T102" s="3"/>
      <c r="U102" s="3"/>
      <c r="V102" s="3"/>
      <c r="W102" s="3"/>
      <c r="X102" s="3"/>
      <c r="Y102" s="3"/>
      <c r="Z102" s="3"/>
      <c r="AA102" s="3"/>
      <c r="AB102" s="3"/>
      <c r="AC102" s="3"/>
      <c r="AD102" s="3"/>
      <c r="AE102" s="3"/>
      <c r="AF102" s="3"/>
    </row>
    <row r="103" spans="1:32" ht="84" x14ac:dyDescent="0.2">
      <c r="A103" s="29" t="s">
        <v>20</v>
      </c>
      <c r="B103" s="26" t="s">
        <v>72</v>
      </c>
      <c r="C103" s="27">
        <v>42882</v>
      </c>
      <c r="D103" s="28" t="str">
        <f>HYPERLINK("http://mgaleg.maryland.gov/webmga/frmMain.aspx?pid=billpage&amp;stab=03&amp;id=sb0908&amp;tab=subject3&amp;ys=2017rs","SB908")</f>
        <v>SB908</v>
      </c>
      <c r="E103" s="26" t="s">
        <v>368</v>
      </c>
      <c r="F103" s="1"/>
      <c r="G103" s="1"/>
      <c r="H103" s="8" t="s">
        <v>73</v>
      </c>
      <c r="I103" s="3"/>
      <c r="J103" s="3"/>
      <c r="K103" s="3"/>
      <c r="L103" s="3"/>
      <c r="M103" s="3"/>
      <c r="N103" s="3"/>
      <c r="O103" s="3"/>
      <c r="P103" s="3"/>
      <c r="Q103" s="3"/>
      <c r="R103" s="3"/>
      <c r="S103" s="3"/>
      <c r="T103" s="3">
        <v>1</v>
      </c>
      <c r="U103" s="3"/>
      <c r="V103" s="3"/>
      <c r="W103" s="3"/>
      <c r="X103" s="3"/>
      <c r="Y103" s="3"/>
      <c r="AB103" s="5"/>
      <c r="AC103" s="5"/>
      <c r="AD103" s="5"/>
      <c r="AE103" s="5"/>
      <c r="AF103" s="5"/>
    </row>
    <row r="104" spans="1:32" ht="108" x14ac:dyDescent="0.2">
      <c r="A104" s="29" t="s">
        <v>20</v>
      </c>
      <c r="B104" s="26" t="s">
        <v>72</v>
      </c>
      <c r="C104" s="27">
        <v>42880</v>
      </c>
      <c r="D104" s="28" t="str">
        <f>HYPERLINK("http://mgaleg.maryland.gov/webmga/frmMain.aspx?id=sb0319&amp;stab=01&amp;pid=billpage&amp;tab=subject3&amp;ys=2017rs","SB319")</f>
        <v>SB319</v>
      </c>
      <c r="E104" s="26" t="s">
        <v>369</v>
      </c>
      <c r="F104" s="1"/>
      <c r="G104" s="1"/>
      <c r="H104" s="8" t="s">
        <v>81</v>
      </c>
      <c r="I104" s="3">
        <v>1</v>
      </c>
      <c r="J104" s="3">
        <v>1</v>
      </c>
      <c r="K104" s="3">
        <v>1</v>
      </c>
      <c r="L104" s="3"/>
      <c r="M104" s="3"/>
      <c r="N104" s="3"/>
      <c r="O104" s="3"/>
      <c r="P104" s="3"/>
      <c r="Q104" s="3"/>
      <c r="R104" s="3"/>
      <c r="S104" s="3"/>
      <c r="T104" s="3"/>
      <c r="U104" s="3"/>
      <c r="V104" s="3"/>
      <c r="W104" s="3"/>
      <c r="X104" s="3"/>
      <c r="Y104" s="3">
        <v>1</v>
      </c>
      <c r="Z104" s="3"/>
      <c r="AA104" s="3"/>
      <c r="AB104" s="3"/>
      <c r="AC104" s="3"/>
      <c r="AD104" s="3"/>
      <c r="AE104" s="3"/>
      <c r="AF104" s="3"/>
    </row>
    <row r="105" spans="1:32" ht="36" x14ac:dyDescent="0.2">
      <c r="A105" s="29" t="s">
        <v>20</v>
      </c>
      <c r="B105" s="26" t="s">
        <v>72</v>
      </c>
      <c r="C105" s="27">
        <v>42843</v>
      </c>
      <c r="D105" s="28" t="str">
        <f>HYPERLINK("http://mgaleg.maryland.gov/webmga/frmMain.aspx?id=hb0810&amp;stab=01&amp;pid=billpage&amp;tab=subject3&amp;ys=2017rs","HB810")</f>
        <v>HB810</v>
      </c>
      <c r="E105" s="26" t="s">
        <v>136</v>
      </c>
      <c r="F105" s="21" t="str">
        <f>HYPERLINK("http://www.nationalskillscoalition.org/resources/publications/file/2017-Legislative-Roundup.pdf","Source")</f>
        <v>Source</v>
      </c>
      <c r="G105" s="1"/>
      <c r="H105" s="8" t="s">
        <v>137</v>
      </c>
      <c r="I105" s="3"/>
      <c r="J105" s="3">
        <v>1</v>
      </c>
      <c r="K105" s="3"/>
      <c r="L105" s="3"/>
      <c r="M105" s="3"/>
      <c r="N105" s="3"/>
      <c r="O105" s="3"/>
      <c r="P105" s="3"/>
      <c r="Q105" s="3"/>
      <c r="R105" s="3"/>
      <c r="S105" s="3"/>
      <c r="T105" s="3">
        <v>1</v>
      </c>
      <c r="U105" s="3"/>
      <c r="V105" s="3"/>
      <c r="W105" s="3"/>
      <c r="X105" s="3"/>
      <c r="Y105" s="3"/>
      <c r="Z105" s="3"/>
      <c r="AA105" s="3"/>
      <c r="AB105" s="3"/>
      <c r="AC105" s="3"/>
      <c r="AD105" s="3"/>
      <c r="AE105" s="3"/>
      <c r="AF105" s="3"/>
    </row>
    <row r="106" spans="1:32" ht="132" x14ac:dyDescent="0.2">
      <c r="A106" s="29" t="s">
        <v>21</v>
      </c>
      <c r="B106" s="26" t="s">
        <v>114</v>
      </c>
      <c r="C106" s="27">
        <v>42759</v>
      </c>
      <c r="D106" s="28" t="str">
        <f>HYPERLINK("http://www.mass.edu/bhe/lib/documents/BHE/Joint%20BHE%20BESE%20Early%20College%20Resolution%20with%20attachments.pdf","Early College Joint Committee")</f>
        <v>Early College Joint Committee</v>
      </c>
      <c r="E106" s="26" t="s">
        <v>294</v>
      </c>
      <c r="F106" s="21" t="str">
        <f>HYPERLINK("https://stateboardinsight.nasbe.org/search-results/college-and-career/2017/all/all/html/","Source")</f>
        <v>Source</v>
      </c>
      <c r="G106" s="1"/>
      <c r="H106" s="8" t="s">
        <v>81</v>
      </c>
      <c r="I106" s="3"/>
      <c r="J106" s="3"/>
      <c r="K106" s="3">
        <v>1</v>
      </c>
      <c r="L106" s="3"/>
      <c r="M106" s="3"/>
      <c r="N106" s="3"/>
      <c r="O106" s="3"/>
      <c r="P106" s="3"/>
      <c r="Q106" s="3"/>
      <c r="R106" s="3"/>
      <c r="S106" s="3"/>
      <c r="T106" s="3">
        <v>1</v>
      </c>
      <c r="U106" s="3"/>
      <c r="V106" s="3"/>
      <c r="W106" s="3"/>
      <c r="X106" s="3"/>
      <c r="Y106" s="3">
        <v>1</v>
      </c>
      <c r="Z106" s="3"/>
      <c r="AA106" s="3"/>
      <c r="AB106" s="3"/>
      <c r="AC106" s="3"/>
      <c r="AD106" s="3"/>
      <c r="AE106" s="3"/>
      <c r="AF106" s="3"/>
    </row>
    <row r="107" spans="1:32" ht="25.5" x14ac:dyDescent="0.2">
      <c r="A107" s="29" t="s">
        <v>21</v>
      </c>
      <c r="B107" s="26" t="s">
        <v>74</v>
      </c>
      <c r="C107" s="26"/>
      <c r="D107" s="28" t="str">
        <f>HYPERLINK("https://malegislature.gov/Laws/SessionLaws/Acts/2017/Chapter47","Chapter 47 (budget)")</f>
        <v>Chapter 47 (budget)</v>
      </c>
      <c r="E107" s="34" t="s">
        <v>370</v>
      </c>
      <c r="F107" s="21" t="str">
        <f>HYPERLINK("http://www.masslive.com/politics/index.ssf/2017/03/education_department_plans_exp.html","Source")</f>
        <v>Source</v>
      </c>
      <c r="G107" s="1"/>
      <c r="H107" s="8" t="s">
        <v>76</v>
      </c>
      <c r="I107" s="3">
        <v>1</v>
      </c>
      <c r="J107" s="3"/>
      <c r="K107" s="3"/>
      <c r="L107" s="3"/>
      <c r="M107" s="3"/>
      <c r="N107" s="3"/>
      <c r="O107" s="3">
        <v>1</v>
      </c>
      <c r="P107" s="3"/>
      <c r="Q107" s="3"/>
      <c r="R107" s="3"/>
      <c r="S107" s="3"/>
      <c r="T107" s="3"/>
      <c r="U107" s="3"/>
      <c r="V107" s="3"/>
      <c r="W107" s="3"/>
      <c r="X107" s="3"/>
      <c r="Y107" s="3"/>
      <c r="Z107" s="3"/>
      <c r="AA107" s="3"/>
      <c r="AB107" s="3"/>
      <c r="AC107" s="3"/>
      <c r="AD107" s="3"/>
      <c r="AE107" s="3"/>
      <c r="AF107" s="3"/>
    </row>
    <row r="108" spans="1:32" ht="72" x14ac:dyDescent="0.2">
      <c r="A108" s="29" t="s">
        <v>21</v>
      </c>
      <c r="B108" s="26" t="s">
        <v>138</v>
      </c>
      <c r="C108" s="31">
        <v>42900</v>
      </c>
      <c r="D108" s="28" t="str">
        <f>HYPERLINK("http://www.workforcedqc.org/sites/default/files/images/MA%20SLDS%20MOU%20-%20executed.pdf","MOU")</f>
        <v>MOU</v>
      </c>
      <c r="E108" s="26" t="s">
        <v>139</v>
      </c>
      <c r="F108" s="1"/>
      <c r="G108" s="1"/>
      <c r="H108" s="8" t="s">
        <v>75</v>
      </c>
      <c r="I108" s="3"/>
      <c r="J108" s="3"/>
      <c r="K108" s="3"/>
      <c r="L108" s="3"/>
      <c r="M108" s="3"/>
      <c r="N108" s="3">
        <v>1</v>
      </c>
      <c r="O108" s="3"/>
      <c r="P108" s="3"/>
      <c r="Q108" s="3"/>
      <c r="R108" s="3"/>
      <c r="S108" s="3"/>
      <c r="T108" s="3">
        <v>1</v>
      </c>
      <c r="U108" s="3"/>
      <c r="V108" s="3"/>
      <c r="W108" s="3"/>
      <c r="X108" s="3"/>
      <c r="Y108" s="3"/>
      <c r="Z108" s="1"/>
      <c r="AA108" s="1"/>
      <c r="AB108" s="1"/>
      <c r="AC108" s="1"/>
      <c r="AD108" s="1"/>
      <c r="AE108" s="1"/>
      <c r="AF108" s="1"/>
    </row>
    <row r="109" spans="1:32" ht="72" x14ac:dyDescent="0.2">
      <c r="A109" s="29" t="s">
        <v>21</v>
      </c>
      <c r="B109" s="26" t="s">
        <v>140</v>
      </c>
      <c r="C109" s="31"/>
      <c r="D109" s="28" t="str">
        <f>HYPERLINK("http://www.mass.edu/masstransfer/macomcom/home.asp","Expansion of the Commonwealth Commitment")</f>
        <v>Expansion of the Commonwealth Commitment</v>
      </c>
      <c r="E109" s="26" t="s">
        <v>293</v>
      </c>
      <c r="F109" s="21" t="str">
        <f>HYPERLINK("http://www.metrowestdailynews.com/news/20171008/state-expands-college-transfer-discount-programs","Source")</f>
        <v>Source</v>
      </c>
      <c r="G109" s="1"/>
      <c r="H109" s="8" t="s">
        <v>76</v>
      </c>
      <c r="I109" s="3">
        <v>1</v>
      </c>
      <c r="J109" s="3"/>
      <c r="K109" s="3">
        <v>1</v>
      </c>
      <c r="L109" s="3"/>
      <c r="M109" s="3"/>
      <c r="N109" s="3"/>
      <c r="O109" s="3"/>
      <c r="P109" s="3"/>
      <c r="Q109" s="3"/>
      <c r="R109" s="3"/>
      <c r="S109" s="3"/>
      <c r="T109" s="3"/>
      <c r="U109" s="3"/>
      <c r="V109" s="3"/>
      <c r="W109" s="3"/>
      <c r="X109" s="3"/>
      <c r="Y109" s="3"/>
      <c r="Z109" s="3"/>
      <c r="AA109" s="3"/>
      <c r="AB109" s="3"/>
      <c r="AC109" s="3"/>
      <c r="AD109" s="3"/>
      <c r="AE109" s="3"/>
      <c r="AF109" s="3"/>
    </row>
    <row r="110" spans="1:32" ht="204" x14ac:dyDescent="0.2">
      <c r="A110" s="29" t="s">
        <v>22</v>
      </c>
      <c r="B110" s="26" t="s">
        <v>74</v>
      </c>
      <c r="C110" s="31">
        <v>42984</v>
      </c>
      <c r="D110" s="28" t="str">
        <f>HYPERLINK("http://www.legislature.mi.gov/(S(yefmytda5lqjaincypxlmtet))/mileg.aspx?page=GetObject&amp;objectname=2017-HB-4313","HB4313")</f>
        <v>HB4313</v>
      </c>
      <c r="E110" s="26" t="s">
        <v>296</v>
      </c>
      <c r="F110" s="21" t="str">
        <f>HYPERLINK("http://www.mlive.com/news/index.ssf/2017/02/snyders_budget_proposal_boosts.html","Source")</f>
        <v>Source</v>
      </c>
      <c r="G110" s="1"/>
      <c r="H110" s="8" t="s">
        <v>81</v>
      </c>
      <c r="I110" s="3">
        <v>1</v>
      </c>
      <c r="J110" s="3">
        <v>1</v>
      </c>
      <c r="K110" s="3"/>
      <c r="L110" s="3"/>
      <c r="M110" s="3"/>
      <c r="N110" s="3"/>
      <c r="O110" s="3">
        <v>1</v>
      </c>
      <c r="P110" s="3"/>
      <c r="Q110" s="3"/>
      <c r="R110" s="3"/>
      <c r="S110" s="3">
        <v>1</v>
      </c>
      <c r="T110" s="3">
        <v>1</v>
      </c>
      <c r="U110" s="3"/>
      <c r="V110" s="3"/>
      <c r="W110" s="3"/>
      <c r="X110" s="3"/>
      <c r="Y110" s="3"/>
      <c r="Z110" s="1"/>
      <c r="AA110" s="1"/>
      <c r="AB110" s="1"/>
      <c r="AC110" s="1"/>
      <c r="AD110" s="1"/>
      <c r="AE110" s="1"/>
      <c r="AF110" s="1"/>
    </row>
    <row r="111" spans="1:32" ht="72" x14ac:dyDescent="0.2">
      <c r="A111" s="29" t="s">
        <v>22</v>
      </c>
      <c r="B111" s="26" t="s">
        <v>74</v>
      </c>
      <c r="C111" s="27">
        <v>43046</v>
      </c>
      <c r="D111" s="28" t="str">
        <f>HYPERLINK("http://www.legislature.mi.gov/(S(1b4y30xapzntwtf5mmeimaiz))/mileg.aspx?page=GetObject&amp;objectname=2017-SB-0133","SB133")</f>
        <v>SB133</v>
      </c>
      <c r="E111" s="26" t="s">
        <v>297</v>
      </c>
      <c r="F111" s="1"/>
      <c r="G111" s="1"/>
      <c r="H111" s="8" t="s">
        <v>81</v>
      </c>
      <c r="I111" s="3">
        <v>1</v>
      </c>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4" x14ac:dyDescent="0.2">
      <c r="A112" s="29" t="s">
        <v>22</v>
      </c>
      <c r="B112" s="26" t="s">
        <v>114</v>
      </c>
      <c r="C112" s="27"/>
      <c r="D112" s="28" t="str">
        <f>HYPERLINK("http://www.michigan.gov/documents/mde/Michigan-ESSA-Consolidated-Plan_558370_7.pdf","MI's State Plan")</f>
        <v>MI's State Plan</v>
      </c>
      <c r="E112" s="26" t="s">
        <v>142</v>
      </c>
      <c r="F112" s="1"/>
      <c r="G112" s="1" t="s">
        <v>86</v>
      </c>
      <c r="H112" s="8" t="s">
        <v>73</v>
      </c>
      <c r="I112" s="3"/>
      <c r="J112" s="3"/>
      <c r="K112" s="3">
        <v>1</v>
      </c>
      <c r="L112" s="3"/>
      <c r="M112" s="3"/>
      <c r="N112" s="3">
        <v>1</v>
      </c>
      <c r="O112" s="3"/>
      <c r="P112" s="3"/>
      <c r="Q112" s="3"/>
      <c r="R112" s="3"/>
      <c r="S112" s="3"/>
      <c r="T112" s="3"/>
      <c r="U112" s="3"/>
      <c r="V112" s="3"/>
      <c r="W112" s="3"/>
      <c r="X112" s="3"/>
      <c r="Y112" s="3"/>
      <c r="Z112" s="3"/>
      <c r="AA112" s="3"/>
      <c r="AB112" s="3"/>
      <c r="AC112" s="3"/>
      <c r="AD112" s="3"/>
      <c r="AE112" s="3"/>
      <c r="AF112" s="3"/>
    </row>
    <row r="113" spans="1:32" ht="48" x14ac:dyDescent="0.2">
      <c r="A113" s="29" t="s">
        <v>22</v>
      </c>
      <c r="B113" s="26" t="s">
        <v>96</v>
      </c>
      <c r="C113" s="27">
        <v>42851</v>
      </c>
      <c r="D113" s="26" t="s">
        <v>143</v>
      </c>
      <c r="E113" s="26" t="s">
        <v>371</v>
      </c>
      <c r="F113" s="21" t="str">
        <f>HYPERLINK("http://www.michigan.gov/snyder/0,4668,7-277--410289--,00.html","Source")</f>
        <v>Source</v>
      </c>
      <c r="G113" s="1"/>
      <c r="H113" s="8" t="s">
        <v>81</v>
      </c>
      <c r="I113" s="3"/>
      <c r="J113" s="3"/>
      <c r="K113" s="3"/>
      <c r="L113" s="3"/>
      <c r="M113" s="3"/>
      <c r="N113" s="3"/>
      <c r="O113" s="3"/>
      <c r="P113" s="3"/>
      <c r="Q113" s="3"/>
      <c r="R113" s="3"/>
      <c r="S113" s="3">
        <v>1</v>
      </c>
      <c r="T113" s="3"/>
      <c r="U113" s="3"/>
      <c r="V113" s="3"/>
      <c r="W113" s="3"/>
      <c r="X113" s="3"/>
      <c r="Y113" s="3"/>
      <c r="Z113" s="3"/>
      <c r="AA113" s="3"/>
      <c r="AB113" s="3"/>
      <c r="AC113" s="3"/>
      <c r="AD113" s="3"/>
      <c r="AE113" s="3"/>
      <c r="AF113" s="3"/>
    </row>
    <row r="114" spans="1:32" ht="36" x14ac:dyDescent="0.2">
      <c r="A114" s="29" t="s">
        <v>22</v>
      </c>
      <c r="B114" s="26" t="s">
        <v>72</v>
      </c>
      <c r="C114" s="27">
        <v>43048</v>
      </c>
      <c r="D114" s="28" t="str">
        <f>HYPERLINK("http://www.legislature.mi.gov/(S(a2pxywhghyuihzvkxvety1go))/mileg.aspx?page=GetObject&amp;objectname=2017-HB-4181","HB4181")</f>
        <v>HB4181</v>
      </c>
      <c r="E114" s="26" t="s">
        <v>141</v>
      </c>
      <c r="F114" s="21" t="str">
        <f>HYPERLINK("http://www.freep.com/story/news/local/michigan/2017/11/08/guidance-counselors-michigan-career-counseling/846039001/","Source")</f>
        <v>Source</v>
      </c>
      <c r="G114" s="1"/>
      <c r="H114" s="8" t="s">
        <v>73</v>
      </c>
      <c r="I114" s="3"/>
      <c r="J114" s="3"/>
      <c r="K114" s="3"/>
      <c r="L114" s="3"/>
      <c r="M114" s="3"/>
      <c r="N114" s="3"/>
      <c r="O114" s="3"/>
      <c r="P114" s="3"/>
      <c r="Q114" s="3"/>
      <c r="R114" s="3">
        <v>1</v>
      </c>
      <c r="S114" s="3">
        <v>1</v>
      </c>
      <c r="T114" s="3"/>
      <c r="U114" s="3"/>
      <c r="V114" s="3"/>
      <c r="W114" s="3"/>
      <c r="X114" s="3"/>
      <c r="Y114" s="3"/>
      <c r="Z114" s="3"/>
      <c r="AA114" s="3"/>
      <c r="AB114" s="3"/>
      <c r="AC114" s="3"/>
      <c r="AD114" s="3"/>
      <c r="AE114" s="3"/>
      <c r="AF114" s="3"/>
    </row>
    <row r="115" spans="1:32" ht="204" x14ac:dyDescent="0.2">
      <c r="A115" s="29" t="s">
        <v>22</v>
      </c>
      <c r="B115" s="26" t="s">
        <v>385</v>
      </c>
      <c r="C115" s="27"/>
      <c r="D115" s="28" t="str">
        <f>HYPERLINK("http://www.michigan.gov/documents/mde/Career_Pathways_ED_576698_7.PDF","Implementing Rec's from the Career Pathways Alliance")</f>
        <v>Implementing Rec's from the Career Pathways Alliance</v>
      </c>
      <c r="E115" s="26" t="s">
        <v>295</v>
      </c>
      <c r="F115" s="1"/>
      <c r="G115" s="1"/>
      <c r="H115" s="8" t="s">
        <v>73</v>
      </c>
      <c r="I115" s="3">
        <v>1</v>
      </c>
      <c r="J115" s="3"/>
      <c r="K115" s="3"/>
      <c r="L115" s="3">
        <v>1</v>
      </c>
      <c r="M115" s="3">
        <v>1</v>
      </c>
      <c r="N115" s="3"/>
      <c r="O115" s="3"/>
      <c r="P115" s="3"/>
      <c r="Q115" s="3"/>
      <c r="R115" s="3">
        <v>1</v>
      </c>
      <c r="S115" s="3">
        <v>1</v>
      </c>
      <c r="T115" s="3"/>
      <c r="U115" s="3"/>
      <c r="V115" s="3"/>
      <c r="W115" s="3"/>
      <c r="X115" s="3"/>
      <c r="Y115" s="3"/>
      <c r="Z115" s="5"/>
      <c r="AA115" s="5"/>
      <c r="AB115" s="5"/>
      <c r="AC115" s="5"/>
      <c r="AD115" s="5"/>
      <c r="AE115" s="5"/>
      <c r="AF115" s="5"/>
    </row>
    <row r="116" spans="1:32" ht="216" x14ac:dyDescent="0.2">
      <c r="A116" s="29" t="s">
        <v>23</v>
      </c>
      <c r="B116" s="26" t="s">
        <v>72</v>
      </c>
      <c r="C116" s="26"/>
      <c r="D116" s="28" t="str">
        <f>HYPERLINK("https://www.revisor.mn.gov/bills/bill.php?b=House&amp;f=HF0002&amp;ssn=1&amp;y=2017","HF2")</f>
        <v>HF2</v>
      </c>
      <c r="E116" s="26" t="s">
        <v>298</v>
      </c>
      <c r="F116" s="1"/>
      <c r="G116" s="1"/>
      <c r="H116" s="8" t="s">
        <v>81</v>
      </c>
      <c r="I116" s="3">
        <v>1</v>
      </c>
      <c r="J116" s="3"/>
      <c r="K116" s="3"/>
      <c r="L116" s="3"/>
      <c r="M116" s="3"/>
      <c r="N116" s="3"/>
      <c r="O116" s="3"/>
      <c r="P116" s="3"/>
      <c r="Q116" s="3">
        <v>1</v>
      </c>
      <c r="R116" s="3">
        <v>1</v>
      </c>
      <c r="S116" s="3"/>
      <c r="T116" s="3"/>
      <c r="U116" s="3"/>
      <c r="V116" s="3"/>
      <c r="W116" s="3"/>
      <c r="X116" s="3"/>
      <c r="Y116" s="3">
        <v>1</v>
      </c>
      <c r="Z116" s="3"/>
      <c r="AA116" s="3"/>
      <c r="AB116" s="3"/>
      <c r="AC116" s="3"/>
      <c r="AD116" s="3"/>
      <c r="AE116" s="3"/>
      <c r="AF116" s="3"/>
    </row>
    <row r="117" spans="1:32" ht="132" x14ac:dyDescent="0.2">
      <c r="A117" s="29" t="s">
        <v>23</v>
      </c>
      <c r="B117" s="26" t="s">
        <v>72</v>
      </c>
      <c r="C117" s="27">
        <v>42885</v>
      </c>
      <c r="D117" s="28" t="str">
        <f>HYPERLINK("https://www.revisor.mn.gov/bills/bill.php?b=Senate&amp;f=SF1456&amp;ssn=0&amp;y=2017","SF1456")</f>
        <v>SF1456</v>
      </c>
      <c r="E117" s="26" t="s">
        <v>373</v>
      </c>
      <c r="F117" s="21" t="str">
        <f>HYPERLINK("http://www.nationalskillscoalition.org/resources/publications/file/2017-Legislative-Roundup.pdf","Source")</f>
        <v>Source</v>
      </c>
      <c r="G117" s="1"/>
      <c r="H117" s="8" t="s">
        <v>79</v>
      </c>
      <c r="I117" s="3">
        <v>1</v>
      </c>
      <c r="J117" s="3">
        <v>1</v>
      </c>
      <c r="K117" s="3"/>
      <c r="L117" s="3">
        <v>1</v>
      </c>
      <c r="M117" s="3"/>
      <c r="N117" s="3"/>
      <c r="O117" s="3"/>
      <c r="P117" s="3"/>
      <c r="Q117" s="3"/>
      <c r="R117" s="3"/>
      <c r="S117" s="3"/>
      <c r="T117" s="3"/>
      <c r="U117" s="3"/>
      <c r="V117" s="3"/>
      <c r="W117" s="3"/>
      <c r="X117" s="3"/>
      <c r="Y117" s="3"/>
      <c r="Z117" s="3"/>
      <c r="AA117" s="3"/>
      <c r="AB117" s="3"/>
      <c r="AC117" s="3"/>
      <c r="AD117" s="3"/>
      <c r="AE117" s="3"/>
      <c r="AF117" s="3"/>
    </row>
    <row r="118" spans="1:32" ht="108" x14ac:dyDescent="0.2">
      <c r="A118" s="29" t="s">
        <v>23</v>
      </c>
      <c r="B118" s="26" t="s">
        <v>74</v>
      </c>
      <c r="C118" s="27">
        <v>42885</v>
      </c>
      <c r="D118" s="28" t="str">
        <f>HYPERLINK("https://www.revisor.mn.gov/bills/bill.php?f=SF943&amp;b=senate&amp;y=2017&amp;ssn=0","SF943")</f>
        <v>SF943</v>
      </c>
      <c r="E118" s="26" t="s">
        <v>372</v>
      </c>
      <c r="F118" s="21" t="str">
        <f>HYPERLINK("https://www.minnpost.com/good-jobs/2017/06/state-creates-scholarships-students-minnesota-technical-colleges","Source")</f>
        <v>Source</v>
      </c>
      <c r="G118" s="1"/>
      <c r="H118" s="8" t="s">
        <v>81</v>
      </c>
      <c r="I118" s="3">
        <v>1</v>
      </c>
      <c r="J118" s="3"/>
      <c r="K118" s="3">
        <v>1</v>
      </c>
      <c r="L118" s="3"/>
      <c r="M118" s="3"/>
      <c r="N118" s="3"/>
      <c r="O118" s="3"/>
      <c r="P118" s="3"/>
      <c r="Q118" s="3"/>
      <c r="R118" s="3"/>
      <c r="S118" s="3">
        <v>1</v>
      </c>
      <c r="T118" s="3"/>
      <c r="U118" s="3"/>
      <c r="V118" s="3"/>
      <c r="W118" s="3"/>
      <c r="X118" s="3"/>
      <c r="Y118" s="3"/>
      <c r="Z118" s="3"/>
      <c r="AA118" s="3"/>
      <c r="AB118" s="3"/>
      <c r="AC118" s="3"/>
      <c r="AD118" s="3"/>
      <c r="AE118" s="3"/>
      <c r="AF118" s="3"/>
    </row>
    <row r="119" spans="1:32" ht="144" x14ac:dyDescent="0.2">
      <c r="A119" s="29" t="s">
        <v>24</v>
      </c>
      <c r="B119" s="26" t="s">
        <v>114</v>
      </c>
      <c r="C119" s="31">
        <v>42929</v>
      </c>
      <c r="D119" s="32" t="str">
        <f>HYPERLINK("http://rcu.msstate.edu/Portals/0/Media/Mississippi%20Diploma%20Options.pdf","Diploma Options")</f>
        <v>Diploma Options</v>
      </c>
      <c r="E119" s="26" t="s">
        <v>374</v>
      </c>
      <c r="F119" s="11" t="str">
        <f>HYPERLINK("http://www.meridianstar.com/news/state/new-high-school-diploma-planned/article_3aa695a0-b324-5704-9921-eaed0c8ad52f.html","Source")</f>
        <v>Source</v>
      </c>
      <c r="G119" s="1"/>
      <c r="H119" s="8" t="s">
        <v>73</v>
      </c>
      <c r="I119" s="1"/>
      <c r="J119" s="1">
        <v>1</v>
      </c>
      <c r="K119" s="1">
        <v>1</v>
      </c>
      <c r="L119" s="1">
        <v>1</v>
      </c>
      <c r="M119" s="1">
        <v>1</v>
      </c>
      <c r="N119" s="1"/>
      <c r="O119" s="1"/>
      <c r="P119" s="1"/>
      <c r="Q119" s="1">
        <v>1</v>
      </c>
      <c r="R119" s="1"/>
      <c r="S119" s="1"/>
      <c r="T119" s="1"/>
      <c r="U119" s="1"/>
      <c r="V119" s="1"/>
      <c r="W119" s="1"/>
      <c r="X119" s="1"/>
      <c r="Y119" s="1"/>
      <c r="Z119" s="3"/>
      <c r="AA119" s="3"/>
      <c r="AB119" s="3"/>
      <c r="AC119" s="3"/>
      <c r="AD119" s="3"/>
      <c r="AE119" s="3"/>
      <c r="AF119" s="3"/>
    </row>
    <row r="120" spans="1:32" ht="24" x14ac:dyDescent="0.2">
      <c r="A120" s="29" t="s">
        <v>24</v>
      </c>
      <c r="B120" s="26" t="s">
        <v>114</v>
      </c>
      <c r="C120" s="31"/>
      <c r="D120" s="32" t="str">
        <f>HYPERLINK("https://www2.ed.gov/admins/lead/account/stateplan17/msconsolidatedstateplan.pdf","MS's ESSA plan")</f>
        <v>MS's ESSA plan</v>
      </c>
      <c r="E120" s="26" t="s">
        <v>145</v>
      </c>
      <c r="F120" s="1"/>
      <c r="G120" s="1" t="s">
        <v>86</v>
      </c>
      <c r="H120" s="8" t="s">
        <v>73</v>
      </c>
      <c r="I120" s="1"/>
      <c r="J120" s="1"/>
      <c r="K120" s="1">
        <v>1</v>
      </c>
      <c r="L120" s="1">
        <v>1</v>
      </c>
      <c r="M120" s="1"/>
      <c r="N120" s="1">
        <v>1</v>
      </c>
      <c r="O120" s="1"/>
      <c r="P120" s="1"/>
      <c r="Q120" s="1"/>
      <c r="R120" s="1"/>
      <c r="S120" s="1"/>
      <c r="T120" s="1"/>
      <c r="U120" s="1"/>
      <c r="V120" s="1"/>
      <c r="W120" s="1"/>
      <c r="X120" s="1"/>
      <c r="Y120" s="1"/>
      <c r="Z120" s="3"/>
      <c r="AA120" s="3"/>
      <c r="AB120" s="3"/>
      <c r="AC120" s="3"/>
      <c r="AD120" s="3"/>
      <c r="AE120" s="3"/>
      <c r="AF120" s="3"/>
    </row>
    <row r="121" spans="1:32" ht="24" x14ac:dyDescent="0.2">
      <c r="A121" s="29" t="s">
        <v>24</v>
      </c>
      <c r="B121" s="26" t="s">
        <v>72</v>
      </c>
      <c r="C121" s="27"/>
      <c r="D121" s="32" t="str">
        <f>HYPERLINK("http://billstatus.ls.state.ms.us/2017/pdf/history/SB/SB2432.xml","SB2432")</f>
        <v>SB2432</v>
      </c>
      <c r="E121" s="26" t="s">
        <v>146</v>
      </c>
      <c r="F121" s="5"/>
      <c r="G121" s="5"/>
      <c r="H121" s="8" t="s">
        <v>73</v>
      </c>
      <c r="I121" s="5"/>
      <c r="J121" s="5"/>
      <c r="K121" s="5"/>
      <c r="L121" s="5"/>
      <c r="M121" s="5">
        <v>1</v>
      </c>
      <c r="N121" s="5"/>
      <c r="O121" s="5"/>
      <c r="P121" s="5"/>
      <c r="Q121" s="5"/>
      <c r="R121" s="5"/>
      <c r="S121" s="5"/>
      <c r="T121" s="5"/>
      <c r="U121" s="5"/>
      <c r="V121" s="5"/>
      <c r="W121" s="5"/>
      <c r="X121" s="5"/>
      <c r="Y121" s="5"/>
      <c r="Z121" s="3"/>
      <c r="AA121" s="3"/>
      <c r="AB121" s="3"/>
      <c r="AC121" s="3"/>
      <c r="AD121" s="3"/>
      <c r="AE121" s="3"/>
      <c r="AF121" s="3"/>
    </row>
    <row r="122" spans="1:32" ht="48" x14ac:dyDescent="0.2">
      <c r="A122" s="29" t="s">
        <v>25</v>
      </c>
      <c r="B122" s="26" t="s">
        <v>74</v>
      </c>
      <c r="C122" s="27"/>
      <c r="D122" s="32" t="str">
        <f>HYPERLINK("https://oa.mo.gov/sites/default/files/FY_2018_Totals_by_Department-Web.pdf","FY18 Budget")</f>
        <v>FY18 Budget</v>
      </c>
      <c r="E122" s="26" t="s">
        <v>299</v>
      </c>
      <c r="F122" s="9" t="str">
        <f>HYPERLINK("http://www.news-leader.com/story/news/politics/2017/01/16/missouri-governor-cuts-146-million-colleges-take-hit/96645552/","Source")</f>
        <v>Source</v>
      </c>
      <c r="G122" s="5"/>
      <c r="H122" s="8" t="s">
        <v>76</v>
      </c>
      <c r="I122" s="5">
        <v>1</v>
      </c>
      <c r="J122" s="5"/>
      <c r="K122" s="5"/>
      <c r="L122" s="5"/>
      <c r="M122" s="5"/>
      <c r="N122" s="5"/>
      <c r="O122" s="5"/>
      <c r="P122" s="5"/>
      <c r="Q122" s="5"/>
      <c r="R122" s="5"/>
      <c r="S122" s="5"/>
      <c r="T122" s="5"/>
      <c r="U122" s="5"/>
      <c r="V122" s="5"/>
      <c r="W122" s="5"/>
      <c r="X122" s="5"/>
      <c r="Y122" s="5"/>
      <c r="Z122" s="3"/>
      <c r="AA122" s="3"/>
      <c r="AB122" s="3"/>
      <c r="AC122" s="3"/>
      <c r="AD122" s="3"/>
      <c r="AE122" s="3"/>
      <c r="AF122" s="3"/>
    </row>
    <row r="123" spans="1:32" ht="36" x14ac:dyDescent="0.2">
      <c r="A123" s="29" t="s">
        <v>25</v>
      </c>
      <c r="B123" s="26" t="s">
        <v>72</v>
      </c>
      <c r="C123" s="27"/>
      <c r="D123" s="32" t="str">
        <f>HYPERLINK("http://www.house.mo.gov/Bill.aspx?bill=HB2&amp;year=2017&amp;code=R","HB2")</f>
        <v>HB2</v>
      </c>
      <c r="E123" s="26" t="s">
        <v>301</v>
      </c>
      <c r="F123" s="5"/>
      <c r="G123" s="5"/>
      <c r="H123" s="8" t="s">
        <v>73</v>
      </c>
      <c r="I123" s="5">
        <v>1</v>
      </c>
      <c r="J123" s="5"/>
      <c r="K123" s="5"/>
      <c r="L123" s="5"/>
      <c r="M123" s="5"/>
      <c r="N123" s="5"/>
      <c r="O123" s="5">
        <v>1</v>
      </c>
      <c r="P123" s="5"/>
      <c r="Q123" s="5"/>
      <c r="R123" s="5"/>
      <c r="S123" s="5">
        <v>1</v>
      </c>
      <c r="T123" s="5"/>
      <c r="U123" s="5"/>
      <c r="V123" s="5"/>
      <c r="W123" s="5"/>
      <c r="X123" s="5"/>
      <c r="Y123" s="5"/>
      <c r="Z123" s="3"/>
      <c r="AA123" s="3"/>
      <c r="AB123" s="3"/>
      <c r="AC123" s="3"/>
      <c r="AD123" s="3"/>
      <c r="AE123" s="3"/>
      <c r="AF123" s="3"/>
    </row>
    <row r="124" spans="1:32" ht="72" x14ac:dyDescent="0.2">
      <c r="A124" s="29" t="s">
        <v>25</v>
      </c>
      <c r="B124" s="26" t="s">
        <v>96</v>
      </c>
      <c r="C124" s="27"/>
      <c r="D124" s="26" t="s">
        <v>147</v>
      </c>
      <c r="E124" s="26" t="s">
        <v>148</v>
      </c>
      <c r="F124" s="9" t="str">
        <f>HYPERLINK("http://www.stltoday.com/news/local/education/missouri-s-community-colleges-band-together-for-shared-training-program/article_37533715-5edf-5cd7-9a3f-39747987ad9a.html","Source")</f>
        <v>Source</v>
      </c>
      <c r="G124" s="5"/>
      <c r="H124" s="8" t="s">
        <v>78</v>
      </c>
      <c r="I124" s="5"/>
      <c r="J124" s="5"/>
      <c r="K124" s="5"/>
      <c r="L124" s="5"/>
      <c r="M124" s="5"/>
      <c r="N124" s="5"/>
      <c r="O124" s="5"/>
      <c r="P124" s="5"/>
      <c r="Q124" s="5"/>
      <c r="R124" s="5"/>
      <c r="S124" s="5"/>
      <c r="T124" s="5">
        <v>1</v>
      </c>
      <c r="U124" s="5"/>
      <c r="V124" s="5"/>
      <c r="W124" s="5"/>
      <c r="X124" s="5"/>
      <c r="Y124" s="5"/>
      <c r="Z124" s="3"/>
      <c r="AA124" s="3"/>
      <c r="AB124" s="3"/>
      <c r="AC124" s="3"/>
      <c r="AD124" s="3"/>
      <c r="AE124" s="3"/>
      <c r="AF124" s="3"/>
    </row>
    <row r="125" spans="1:32" ht="156" x14ac:dyDescent="0.2">
      <c r="A125" s="29" t="s">
        <v>25</v>
      </c>
      <c r="B125" s="26" t="s">
        <v>114</v>
      </c>
      <c r="C125" s="27">
        <v>42901</v>
      </c>
      <c r="D125" s="32" t="str">
        <f>HYPERLINK("https://dese.mo.gov/communications/news-releases/missouri-offer-new-career-and-technical-education-certificate-students","CTE Certificate")</f>
        <v>CTE Certificate</v>
      </c>
      <c r="E125" s="26" t="s">
        <v>300</v>
      </c>
      <c r="F125" s="9" t="str">
        <f>HYPERLINK("http://www.kfvs12.com/story/35682113/mo-high-school-students-can-now-earn-cte-certificate-with-diploma","Source")</f>
        <v>Source</v>
      </c>
      <c r="G125" s="5"/>
      <c r="H125" s="8" t="s">
        <v>73</v>
      </c>
      <c r="I125" s="5"/>
      <c r="J125" s="5">
        <v>1</v>
      </c>
      <c r="K125" s="5"/>
      <c r="L125" s="5">
        <v>1</v>
      </c>
      <c r="M125" s="5">
        <v>1</v>
      </c>
      <c r="N125" s="5"/>
      <c r="O125" s="5"/>
      <c r="P125" s="5"/>
      <c r="Q125" s="5">
        <v>1</v>
      </c>
      <c r="R125" s="5"/>
      <c r="S125" s="5"/>
      <c r="T125" s="5"/>
      <c r="U125" s="5"/>
      <c r="V125" s="5"/>
      <c r="W125" s="5"/>
      <c r="X125" s="5"/>
      <c r="Y125" s="5"/>
      <c r="Z125" s="3"/>
      <c r="AA125" s="3"/>
      <c r="AB125" s="3"/>
      <c r="AC125" s="3"/>
      <c r="AD125" s="3"/>
      <c r="AE125" s="3"/>
      <c r="AF125" s="3"/>
    </row>
    <row r="126" spans="1:32" ht="24" x14ac:dyDescent="0.2">
      <c r="A126" s="29" t="s">
        <v>26</v>
      </c>
      <c r="B126" s="26" t="s">
        <v>114</v>
      </c>
      <c r="C126" s="26"/>
      <c r="D126" s="28" t="str">
        <f>HYPERLINK("https://www2.ed.gov/admins/lead/account/stateplan17/mtconsolidatedstateplan.pdf","MT's ESSA plan")</f>
        <v>MT's ESSA plan</v>
      </c>
      <c r="E126" s="26" t="s">
        <v>149</v>
      </c>
      <c r="F126" s="1"/>
      <c r="G126" s="1" t="s">
        <v>86</v>
      </c>
      <c r="H126" s="8" t="s">
        <v>73</v>
      </c>
      <c r="I126" s="3"/>
      <c r="J126" s="3"/>
      <c r="K126" s="3">
        <v>1</v>
      </c>
      <c r="L126" s="3"/>
      <c r="M126" s="3"/>
      <c r="N126" s="3">
        <v>1</v>
      </c>
      <c r="O126" s="3"/>
      <c r="P126" s="3"/>
      <c r="Q126" s="3"/>
      <c r="R126" s="3"/>
      <c r="S126" s="3"/>
      <c r="T126" s="3"/>
      <c r="U126" s="3"/>
      <c r="V126" s="3"/>
      <c r="W126" s="3"/>
      <c r="X126" s="3"/>
      <c r="Y126" s="3"/>
      <c r="Z126" s="1"/>
      <c r="AA126" s="1"/>
      <c r="AB126" s="1"/>
      <c r="AC126" s="1"/>
      <c r="AD126" s="1"/>
      <c r="AE126" s="1"/>
      <c r="AF126" s="1"/>
    </row>
    <row r="127" spans="1:32" ht="72" x14ac:dyDescent="0.2">
      <c r="A127" s="29" t="s">
        <v>26</v>
      </c>
      <c r="B127" s="26" t="s">
        <v>72</v>
      </c>
      <c r="C127" s="27">
        <v>42850</v>
      </c>
      <c r="D127" s="28" t="str">
        <f>HYPERLINK("http://laws.leg.mt.gov/legprd/LAW0210W$BSIV.ActionQuery?P_BILL_NO1=185&amp;P_BLTP_BILL_TYP_CD=HB&amp;Z_ACTION=Find&amp;P_SESS=20171","HB185")</f>
        <v>HB185</v>
      </c>
      <c r="E127" s="26" t="s">
        <v>302</v>
      </c>
      <c r="F127" s="21" t="str">
        <f>HYPERLINK("http://www.nationalskillscoalition.org/resources/publications/file/2017-Legislative-Roundup.pdf","Source")</f>
        <v>Source</v>
      </c>
      <c r="G127" s="1"/>
      <c r="H127" s="8" t="s">
        <v>76</v>
      </c>
      <c r="I127" s="3">
        <v>1</v>
      </c>
      <c r="J127" s="3"/>
      <c r="K127" s="3"/>
      <c r="L127" s="3">
        <v>1</v>
      </c>
      <c r="M127" s="3"/>
      <c r="N127" s="3"/>
      <c r="O127" s="3"/>
      <c r="P127" s="3"/>
      <c r="Q127" s="3"/>
      <c r="R127" s="3"/>
      <c r="S127" s="3"/>
      <c r="T127" s="3"/>
      <c r="U127" s="3"/>
      <c r="V127" s="3"/>
      <c r="W127" s="3"/>
      <c r="X127" s="3"/>
      <c r="Y127" s="3"/>
      <c r="Z127" s="3"/>
      <c r="AA127" s="3"/>
      <c r="AB127" s="3"/>
      <c r="AC127" s="3"/>
      <c r="AD127" s="3"/>
      <c r="AE127" s="3"/>
      <c r="AF127" s="3"/>
    </row>
    <row r="128" spans="1:32" ht="48" x14ac:dyDescent="0.2">
      <c r="A128" s="29" t="s">
        <v>26</v>
      </c>
      <c r="B128" s="26" t="s">
        <v>72</v>
      </c>
      <c r="C128" s="27">
        <v>42866</v>
      </c>
      <c r="D128" s="28" t="str">
        <f>HYPERLINK("http://laws.leg.mt.gov/legprd/LAW0210W$BSIV.ActionQuery?P_BILL_NO1=308&amp;P_BLTP_BILL_TYP_CD=HB&amp;Z_ACTION=Find&amp;P_SESS=20171","HB308")</f>
        <v>HB308</v>
      </c>
      <c r="E128" s="26" t="s">
        <v>150</v>
      </c>
      <c r="F128" s="21" t="str">
        <f>HYPERLINK("http://www.nationalskillscoalition.org/resources/publications/file/2017-Legislative-Roundup.pdf","Source")</f>
        <v>Source</v>
      </c>
      <c r="G128" s="1"/>
      <c r="H128" s="8" t="s">
        <v>80</v>
      </c>
      <c r="I128" s="3">
        <v>1</v>
      </c>
      <c r="J128" s="3">
        <v>1</v>
      </c>
      <c r="K128" s="3"/>
      <c r="L128" s="3"/>
      <c r="M128" s="3"/>
      <c r="N128" s="3"/>
      <c r="O128" s="3"/>
      <c r="P128" s="3"/>
      <c r="Q128" s="3"/>
      <c r="R128" s="3"/>
      <c r="S128" s="3">
        <v>1</v>
      </c>
      <c r="T128" s="3"/>
      <c r="U128" s="3"/>
      <c r="V128" s="3"/>
      <c r="W128" s="3"/>
      <c r="X128" s="3"/>
      <c r="Y128" s="3"/>
      <c r="Z128" s="3"/>
      <c r="AA128" s="3"/>
      <c r="AB128" s="3"/>
      <c r="AC128" s="3"/>
      <c r="AD128" s="3"/>
      <c r="AE128" s="3"/>
      <c r="AF128" s="3"/>
    </row>
    <row r="129" spans="1:32" ht="12.75" x14ac:dyDescent="0.2">
      <c r="A129" s="29" t="s">
        <v>324</v>
      </c>
      <c r="B129" s="29" t="s">
        <v>321</v>
      </c>
      <c r="C129" s="35" t="s">
        <v>321</v>
      </c>
      <c r="D129" s="35" t="s">
        <v>321</v>
      </c>
      <c r="E129" s="29" t="s">
        <v>322</v>
      </c>
      <c r="F129" s="19"/>
      <c r="G129" s="19"/>
      <c r="H129" s="8"/>
      <c r="I129" s="13"/>
      <c r="J129" s="13"/>
      <c r="K129" s="13"/>
      <c r="L129" s="13"/>
      <c r="M129" s="13"/>
      <c r="N129" s="13"/>
      <c r="O129" s="13"/>
      <c r="P129" s="13"/>
      <c r="Q129" s="13"/>
      <c r="R129" s="13"/>
      <c r="S129" s="13"/>
      <c r="T129" s="13"/>
      <c r="U129" s="13"/>
      <c r="V129" s="13"/>
      <c r="W129" s="13"/>
      <c r="X129" s="13"/>
      <c r="Y129" s="13"/>
      <c r="Z129" s="3"/>
      <c r="AA129" s="3"/>
      <c r="AB129" s="3"/>
      <c r="AC129" s="3"/>
      <c r="AD129" s="3"/>
      <c r="AE129" s="3"/>
      <c r="AF129" s="3"/>
    </row>
    <row r="130" spans="1:32" ht="60" x14ac:dyDescent="0.2">
      <c r="A130" s="29" t="s">
        <v>27</v>
      </c>
      <c r="B130" s="26" t="s">
        <v>114</v>
      </c>
      <c r="C130" s="31">
        <v>43083</v>
      </c>
      <c r="D130" s="32" t="str">
        <f>HYPERLINK("http://www.doe.nv.gov/uploadedFiles/ndedoenvgov/content/Boards_Commissions_Councils/State_Board_of_Education/2017/December/item9ccrdiploma.pdf","CCR Diploma")</f>
        <v>CCR Diploma</v>
      </c>
      <c r="E130" s="26" t="s">
        <v>305</v>
      </c>
      <c r="F130" s="11" t="str">
        <f>HYPERLINK("http://www.doe.nv.gov/News__Media/Press_Releases/2017/Nevada_School_Performance_Framework_Marks_Starting_Line_on_Path_to_Becoming_the_Fastest_Improving_State_in_the_Nation/","Source")</f>
        <v>Source</v>
      </c>
      <c r="G130" s="1"/>
      <c r="H130" s="8" t="s">
        <v>73</v>
      </c>
      <c r="I130" s="1"/>
      <c r="J130" s="1"/>
      <c r="K130" s="1"/>
      <c r="L130" s="1">
        <v>1</v>
      </c>
      <c r="M130" s="1">
        <v>1</v>
      </c>
      <c r="N130" s="1"/>
      <c r="O130" s="1"/>
      <c r="P130" s="1"/>
      <c r="Q130" s="1">
        <v>1</v>
      </c>
      <c r="R130" s="1"/>
      <c r="S130" s="1"/>
      <c r="T130" s="1"/>
      <c r="U130" s="1"/>
      <c r="V130" s="1"/>
      <c r="W130" s="1"/>
      <c r="X130" s="1"/>
      <c r="Y130" s="1"/>
      <c r="Z130" s="3"/>
      <c r="AA130" s="3"/>
      <c r="AB130" s="3"/>
      <c r="AC130" s="3"/>
      <c r="AD130" s="3"/>
      <c r="AE130" s="3"/>
      <c r="AF130" s="3"/>
    </row>
    <row r="131" spans="1:32" ht="96" x14ac:dyDescent="0.2">
      <c r="A131" s="29" t="s">
        <v>27</v>
      </c>
      <c r="B131" s="26" t="s">
        <v>72</v>
      </c>
      <c r="C131" s="27">
        <v>42895</v>
      </c>
      <c r="D131" s="28" t="str">
        <f>HYPERLINK("https://www.leg.state.nv.us/Session/79th2017/Reports/history.cfm?ID=24","AB7")</f>
        <v>AB7</v>
      </c>
      <c r="E131" s="26" t="s">
        <v>375</v>
      </c>
      <c r="F131" s="1"/>
      <c r="G131" s="1" t="s">
        <v>86</v>
      </c>
      <c r="H131" s="8" t="s">
        <v>73</v>
      </c>
      <c r="I131" s="3">
        <v>1</v>
      </c>
      <c r="J131" s="3"/>
      <c r="K131" s="3"/>
      <c r="L131" s="3">
        <v>1</v>
      </c>
      <c r="M131" s="3">
        <v>1</v>
      </c>
      <c r="N131" s="3"/>
      <c r="O131" s="3"/>
      <c r="P131" s="3"/>
      <c r="Q131" s="3"/>
      <c r="R131" s="3"/>
      <c r="S131" s="3"/>
      <c r="T131" s="3"/>
      <c r="U131" s="3"/>
      <c r="V131" s="3"/>
      <c r="W131" s="3"/>
      <c r="X131" s="3"/>
      <c r="Y131" s="3"/>
      <c r="Z131" s="3"/>
      <c r="AA131" s="3"/>
      <c r="AB131" s="3"/>
      <c r="AC131" s="3"/>
      <c r="AD131" s="3"/>
      <c r="AE131" s="3"/>
      <c r="AF131" s="3"/>
    </row>
    <row r="132" spans="1:32" ht="48" x14ac:dyDescent="0.2">
      <c r="A132" s="29" t="s">
        <v>27</v>
      </c>
      <c r="B132" s="26" t="s">
        <v>72</v>
      </c>
      <c r="C132" s="27">
        <v>42895</v>
      </c>
      <c r="D132" s="28" t="str">
        <f>HYPERLINK("https://www.leg.state.nv.us/Session/79th2017/Reports/history.cfm?ID=989","SB458")</f>
        <v>SB458</v>
      </c>
      <c r="E132" s="26" t="s">
        <v>303</v>
      </c>
      <c r="F132" s="21" t="str">
        <f>HYPERLINK("https://www.ecs.org/ec-content/uploads/PS_State_Data_Systems.pdf","Source")</f>
        <v>Source</v>
      </c>
      <c r="G132" s="1"/>
      <c r="H132" s="8" t="s">
        <v>75</v>
      </c>
      <c r="I132" s="3"/>
      <c r="J132" s="3"/>
      <c r="K132" s="3"/>
      <c r="L132" s="3"/>
      <c r="M132" s="3"/>
      <c r="N132" s="3">
        <v>1</v>
      </c>
      <c r="O132" s="3"/>
      <c r="P132" s="3"/>
      <c r="Q132" s="3"/>
      <c r="R132" s="3"/>
      <c r="S132" s="3"/>
      <c r="T132" s="3">
        <v>1</v>
      </c>
      <c r="U132" s="3"/>
      <c r="V132" s="3"/>
      <c r="W132" s="3"/>
      <c r="X132" s="3"/>
      <c r="Y132" s="3"/>
      <c r="Z132" s="3"/>
      <c r="AA132" s="3"/>
      <c r="AB132" s="3"/>
      <c r="AC132" s="3"/>
      <c r="AD132" s="3"/>
      <c r="AE132" s="3"/>
      <c r="AF132" s="3"/>
    </row>
    <row r="133" spans="1:32" ht="60" x14ac:dyDescent="0.2">
      <c r="A133" s="29" t="s">
        <v>27</v>
      </c>
      <c r="B133" s="26" t="s">
        <v>72</v>
      </c>
      <c r="C133" s="27">
        <v>42894</v>
      </c>
      <c r="D133" s="28" t="str">
        <f>HYPERLINK("https://www.leg.state.nv.us/Session/79th2017/Reports/history.cfm?ID=856","SB391")</f>
        <v>SB391</v>
      </c>
      <c r="E133" s="26" t="s">
        <v>151</v>
      </c>
      <c r="F133" s="21" t="str">
        <f>HYPERLINK("http://www.nnbw.com/news/promise-program-targets-community-colleges/","Source")</f>
        <v>Source</v>
      </c>
      <c r="G133" s="1"/>
      <c r="H133" s="8" t="s">
        <v>76</v>
      </c>
      <c r="I133" s="3">
        <v>1</v>
      </c>
      <c r="J133" s="3"/>
      <c r="K133" s="3"/>
      <c r="L133" s="3"/>
      <c r="M133" s="3"/>
      <c r="N133" s="3"/>
      <c r="O133" s="3"/>
      <c r="P133" s="3"/>
      <c r="Q133" s="3"/>
      <c r="R133" s="3"/>
      <c r="S133" s="3">
        <v>1</v>
      </c>
      <c r="T133" s="3"/>
      <c r="U133" s="3"/>
      <c r="V133" s="3"/>
      <c r="W133" s="3"/>
      <c r="X133" s="3"/>
      <c r="Y133" s="3"/>
      <c r="Z133" s="3"/>
      <c r="AA133" s="3"/>
      <c r="AB133" s="3"/>
      <c r="AC133" s="3"/>
      <c r="AD133" s="3"/>
      <c r="AE133" s="3"/>
      <c r="AF133" s="3"/>
    </row>
    <row r="134" spans="1:32" ht="36" x14ac:dyDescent="0.2">
      <c r="A134" s="29" t="s">
        <v>27</v>
      </c>
      <c r="B134" s="26" t="s">
        <v>72</v>
      </c>
      <c r="C134" s="27">
        <v>42872</v>
      </c>
      <c r="D134" s="28" t="str">
        <f>HYPERLINK("http://www.leg.state.nv.us/Session/79th2017/Reports/history.cfm?ID=1085","AB482")</f>
        <v>AB482</v>
      </c>
      <c r="E134" s="26" t="s">
        <v>304</v>
      </c>
      <c r="F134" s="21" t="str">
        <f>HYPERLINK("http://www.kolotv.com/content/news/Governor-Sandoval-signs-numerous-bills-Friday-423242804.html","Source")</f>
        <v>Source</v>
      </c>
      <c r="G134" s="1"/>
      <c r="H134" s="8" t="s">
        <v>73</v>
      </c>
      <c r="I134" s="3">
        <v>1</v>
      </c>
      <c r="J134" s="3">
        <v>1</v>
      </c>
      <c r="K134" s="3"/>
      <c r="L134" s="3"/>
      <c r="M134" s="3"/>
      <c r="N134" s="3"/>
      <c r="O134" s="3"/>
      <c r="P134" s="3"/>
      <c r="Q134" s="3"/>
      <c r="R134" s="3"/>
      <c r="S134" s="3"/>
      <c r="T134" s="3"/>
      <c r="U134" s="3"/>
      <c r="V134" s="3"/>
      <c r="W134" s="3"/>
      <c r="X134" s="3"/>
      <c r="Y134" s="3"/>
      <c r="Z134" s="3"/>
      <c r="AA134" s="3"/>
      <c r="AB134" s="3"/>
      <c r="AC134" s="3"/>
      <c r="AD134" s="3"/>
      <c r="AE134" s="3"/>
      <c r="AF134" s="3"/>
    </row>
    <row r="135" spans="1:32" ht="84" x14ac:dyDescent="0.2">
      <c r="A135" s="29" t="s">
        <v>27</v>
      </c>
      <c r="B135" s="26" t="s">
        <v>72</v>
      </c>
      <c r="C135" s="27">
        <v>42879</v>
      </c>
      <c r="D135" s="28" t="str">
        <f>HYPERLINK("https://www.leg.state.nv.us/Session/79th2017/Reports/history.cfm?ID=562","SB241")</f>
        <v>SB241</v>
      </c>
      <c r="E135" s="26" t="s">
        <v>152</v>
      </c>
      <c r="F135" s="21" t="str">
        <f>HYPERLINK("http://www.edweek.org/ew/articles/2017/07/27/states-adopt-stem-seals-for-high-school.html?utm_source=Chalkbeat+Colorado&amp;utm_campaign=35944380d8-EMAIL_CAMPAIGN_2017_07_28&amp;utm_medium=email&amp;utm_term=0_588bc72838-35944380d8-93177809","Source")</f>
        <v>Source</v>
      </c>
      <c r="G135" s="1"/>
      <c r="H135" s="8" t="s">
        <v>73</v>
      </c>
      <c r="I135" s="3"/>
      <c r="J135" s="3"/>
      <c r="K135" s="3">
        <v>1</v>
      </c>
      <c r="L135" s="3"/>
      <c r="M135" s="3">
        <v>1</v>
      </c>
      <c r="N135" s="3"/>
      <c r="O135" s="3">
        <v>1</v>
      </c>
      <c r="P135" s="3"/>
      <c r="Q135" s="3">
        <v>1</v>
      </c>
      <c r="R135" s="3"/>
      <c r="S135" s="3"/>
      <c r="T135" s="3"/>
      <c r="U135" s="3"/>
      <c r="V135" s="3"/>
      <c r="W135" s="3"/>
      <c r="X135" s="3"/>
      <c r="Y135" s="3"/>
      <c r="Z135" s="3"/>
      <c r="AA135" s="3"/>
      <c r="AB135" s="3"/>
      <c r="AC135" s="3"/>
      <c r="AD135" s="3"/>
      <c r="AE135" s="3"/>
      <c r="AF135" s="3"/>
    </row>
    <row r="136" spans="1:32" ht="60" x14ac:dyDescent="0.2">
      <c r="A136" s="29" t="s">
        <v>27</v>
      </c>
      <c r="B136" s="26" t="s">
        <v>72</v>
      </c>
      <c r="C136" s="27">
        <v>42901</v>
      </c>
      <c r="D136" s="28" t="str">
        <f>HYPERLINK("https://www.leg.state.nv.us/Session/79th2017/Reports/history.cfm?ID=124","SB66")</f>
        <v>SB66</v>
      </c>
      <c r="E136" s="26" t="s">
        <v>376</v>
      </c>
      <c r="F136" s="1"/>
      <c r="G136" s="1"/>
      <c r="H136" s="8" t="s">
        <v>73</v>
      </c>
      <c r="I136" s="3">
        <v>1</v>
      </c>
      <c r="J136" s="3">
        <v>1</v>
      </c>
      <c r="K136" s="3"/>
      <c r="L136" s="3"/>
      <c r="M136" s="3"/>
      <c r="N136" s="3"/>
      <c r="O136" s="3"/>
      <c r="P136" s="3"/>
      <c r="Q136" s="3"/>
      <c r="R136" s="3"/>
      <c r="S136" s="3"/>
      <c r="T136" s="3"/>
      <c r="U136" s="3"/>
      <c r="V136" s="3">
        <v>1</v>
      </c>
      <c r="W136" s="3"/>
      <c r="X136" s="3"/>
      <c r="Y136" s="3"/>
      <c r="Z136" s="3"/>
      <c r="AA136" s="3"/>
      <c r="AB136" s="3"/>
      <c r="AC136" s="3"/>
      <c r="AD136" s="3"/>
      <c r="AE136" s="3"/>
      <c r="AF136" s="3"/>
    </row>
    <row r="137" spans="1:32" ht="84" x14ac:dyDescent="0.2">
      <c r="A137" s="29" t="s">
        <v>27</v>
      </c>
      <c r="B137" s="26" t="s">
        <v>72</v>
      </c>
      <c r="C137" s="27">
        <v>42901</v>
      </c>
      <c r="D137" s="28" t="str">
        <f>HYPERLINK("https://www.leg.state.nv.us/Session/79th2017/Reports/history.cfm?ID=480","SB200")</f>
        <v>SB200</v>
      </c>
      <c r="E137" s="26" t="s">
        <v>153</v>
      </c>
      <c r="F137" s="1"/>
      <c r="G137" s="1"/>
      <c r="H137" s="8" t="s">
        <v>73</v>
      </c>
      <c r="I137" s="3"/>
      <c r="J137" s="3"/>
      <c r="K137" s="3"/>
      <c r="L137" s="3"/>
      <c r="M137" s="3">
        <v>1</v>
      </c>
      <c r="N137" s="3"/>
      <c r="O137" s="3">
        <v>1</v>
      </c>
      <c r="P137" s="3"/>
      <c r="Q137" s="3"/>
      <c r="R137" s="3">
        <v>1</v>
      </c>
      <c r="S137" s="3"/>
      <c r="T137" s="3">
        <v>1</v>
      </c>
      <c r="U137" s="3"/>
      <c r="V137" s="3"/>
      <c r="W137" s="3"/>
      <c r="X137" s="3"/>
      <c r="Y137" s="3"/>
      <c r="Z137" s="3"/>
      <c r="AA137" s="3"/>
      <c r="AB137" s="3"/>
      <c r="AC137" s="3"/>
      <c r="AD137" s="3"/>
      <c r="AE137" s="3"/>
      <c r="AF137" s="3"/>
    </row>
    <row r="138" spans="1:32" ht="48" x14ac:dyDescent="0.2">
      <c r="A138" s="29" t="s">
        <v>27</v>
      </c>
      <c r="B138" s="26" t="s">
        <v>72</v>
      </c>
      <c r="C138" s="27">
        <v>42879</v>
      </c>
      <c r="D138" s="28" t="str">
        <f>HYPERLINK("http://www.leg.state.nv.us/Session/79th2017/Reports/history.cfm?ID=38","SB19")</f>
        <v>SB19</v>
      </c>
      <c r="E138" s="26" t="s">
        <v>306</v>
      </c>
      <c r="F138" s="21" t="str">
        <f>HYPERLINK("https://www.reviewjournal.com/news/2017-legislature/dual-credit-bill-gets-ok-from-nevada-governor/","Source")</f>
        <v>Source</v>
      </c>
      <c r="G138" s="1"/>
      <c r="H138" s="8" t="s">
        <v>121</v>
      </c>
      <c r="I138" s="3"/>
      <c r="J138" s="3"/>
      <c r="K138" s="3">
        <v>1</v>
      </c>
      <c r="L138" s="3">
        <v>1</v>
      </c>
      <c r="M138" s="3"/>
      <c r="N138" s="3"/>
      <c r="O138" s="3"/>
      <c r="P138" s="3"/>
      <c r="Q138" s="3"/>
      <c r="R138" s="3"/>
      <c r="S138" s="3"/>
      <c r="T138" s="3"/>
      <c r="U138" s="3"/>
      <c r="V138" s="3"/>
      <c r="W138" s="3"/>
      <c r="X138" s="3"/>
      <c r="Y138" s="3"/>
      <c r="Z138" s="3"/>
      <c r="AA138" s="3"/>
      <c r="AB138" s="3"/>
      <c r="AC138" s="3"/>
      <c r="AD138" s="3"/>
      <c r="AE138" s="3"/>
      <c r="AF138" s="3"/>
    </row>
    <row r="139" spans="1:32" ht="48" x14ac:dyDescent="0.2">
      <c r="A139" s="29" t="s">
        <v>27</v>
      </c>
      <c r="B139" s="26" t="s">
        <v>72</v>
      </c>
      <c r="C139" s="27">
        <v>42901</v>
      </c>
      <c r="D139" s="28" t="str">
        <f>HYPERLINK("https://www.leg.state.nv.us/Session/79th2017/Reports/history.cfm?ID=1102","SB516")</f>
        <v>SB516</v>
      </c>
      <c r="E139" s="26" t="s">
        <v>307</v>
      </c>
      <c r="F139" s="21" t="str">
        <f>HYPERLINK("https://www.ecs.org/ec-content/uploads/PS_State_Data_Systems.pdf","Source")</f>
        <v>Source</v>
      </c>
      <c r="G139" s="1"/>
      <c r="H139" s="8" t="s">
        <v>80</v>
      </c>
      <c r="I139" s="3"/>
      <c r="J139" s="3">
        <v>1</v>
      </c>
      <c r="K139" s="3"/>
      <c r="L139" s="3"/>
      <c r="M139" s="3"/>
      <c r="N139" s="3">
        <v>1</v>
      </c>
      <c r="O139" s="3"/>
      <c r="P139" s="3"/>
      <c r="Q139" s="3"/>
      <c r="R139" s="3"/>
      <c r="S139" s="3"/>
      <c r="T139" s="3">
        <v>1</v>
      </c>
      <c r="U139" s="3"/>
      <c r="V139" s="3"/>
      <c r="W139" s="3"/>
      <c r="X139" s="3"/>
      <c r="Y139" s="3"/>
      <c r="Z139" s="3"/>
      <c r="AA139" s="3"/>
      <c r="AB139" s="3"/>
      <c r="AC139" s="3"/>
      <c r="AD139" s="3"/>
      <c r="AE139" s="3"/>
      <c r="AF139" s="3"/>
    </row>
    <row r="140" spans="1:32" ht="24" x14ac:dyDescent="0.2">
      <c r="A140" s="29" t="s">
        <v>28</v>
      </c>
      <c r="B140" s="26" t="s">
        <v>114</v>
      </c>
      <c r="C140" s="26"/>
      <c r="D140" s="32" t="str">
        <f>HYPERLINK("https://www.education.nh.gov/essa/documents/state-plan.pdf","NH's ESSA plan")</f>
        <v>NH's ESSA plan</v>
      </c>
      <c r="E140" s="26" t="s">
        <v>154</v>
      </c>
      <c r="F140" s="1"/>
      <c r="G140" s="1" t="s">
        <v>86</v>
      </c>
      <c r="H140" s="8" t="s">
        <v>73</v>
      </c>
      <c r="I140" s="1"/>
      <c r="J140" s="1"/>
      <c r="K140" s="1">
        <v>1</v>
      </c>
      <c r="L140" s="1">
        <v>1</v>
      </c>
      <c r="M140" s="1"/>
      <c r="N140" s="1">
        <v>1</v>
      </c>
      <c r="O140" s="1"/>
      <c r="P140" s="1"/>
      <c r="Q140" s="1"/>
      <c r="R140" s="1"/>
      <c r="S140" s="1"/>
      <c r="T140" s="1"/>
      <c r="U140" s="1"/>
      <c r="V140" s="1"/>
      <c r="W140" s="1"/>
      <c r="X140" s="1"/>
      <c r="Y140" s="1"/>
      <c r="Z140" s="1"/>
      <c r="AA140" s="1"/>
      <c r="AB140" s="1"/>
      <c r="AC140" s="1"/>
      <c r="AD140" s="1"/>
      <c r="AE140" s="1"/>
      <c r="AF140" s="1"/>
    </row>
    <row r="141" spans="1:32" ht="84" x14ac:dyDescent="0.2">
      <c r="A141" s="29" t="s">
        <v>28</v>
      </c>
      <c r="B141" s="26" t="s">
        <v>72</v>
      </c>
      <c r="C141" s="26"/>
      <c r="D141" s="32" t="str">
        <f>HYPERLINK("http://gencourt.state.nh.us/bill_status/bill_status.aspx?lsr=182&amp;sy=2017&amp;sortoption=&amp;txtsessionyear=2017&amp;txtbillnumber=SB101","SB101")</f>
        <v>SB101</v>
      </c>
      <c r="E141" s="26" t="s">
        <v>155</v>
      </c>
      <c r="F141" s="1"/>
      <c r="G141" s="1"/>
      <c r="H141" s="8" t="s">
        <v>81</v>
      </c>
      <c r="I141" s="1">
        <v>1</v>
      </c>
      <c r="J141" s="1"/>
      <c r="K141" s="1">
        <v>1</v>
      </c>
      <c r="L141" s="1"/>
      <c r="M141" s="1"/>
      <c r="N141" s="1"/>
      <c r="O141" s="1">
        <v>1</v>
      </c>
      <c r="P141" s="1"/>
      <c r="Q141" s="1"/>
      <c r="R141" s="1"/>
      <c r="S141" s="1">
        <v>1</v>
      </c>
      <c r="T141" s="1"/>
      <c r="U141" s="1"/>
      <c r="V141" s="1"/>
      <c r="W141" s="1"/>
      <c r="X141" s="1"/>
      <c r="Y141" s="1">
        <v>1</v>
      </c>
      <c r="Z141" s="1"/>
      <c r="AA141" s="1"/>
      <c r="AB141" s="1"/>
      <c r="AC141" s="1"/>
      <c r="AD141" s="1"/>
      <c r="AE141" s="1"/>
      <c r="AF141" s="1"/>
    </row>
    <row r="142" spans="1:32" ht="96" x14ac:dyDescent="0.2">
      <c r="A142" s="29" t="s">
        <v>29</v>
      </c>
      <c r="B142" s="26" t="s">
        <v>96</v>
      </c>
      <c r="C142" s="26"/>
      <c r="D142" s="26" t="s">
        <v>156</v>
      </c>
      <c r="E142" s="26" t="s">
        <v>308</v>
      </c>
      <c r="F142" s="21" t="str">
        <f>HYPERLINK("http://lwd.dol.state.nj.us/labor/lwdhome/press/2017/20170320Raritanvalleycommunitycollege.html","Source")</f>
        <v>Source</v>
      </c>
      <c r="G142" s="1"/>
      <c r="H142" s="8" t="s">
        <v>75</v>
      </c>
      <c r="I142" s="3"/>
      <c r="J142" s="3">
        <v>1</v>
      </c>
      <c r="K142" s="3"/>
      <c r="L142" s="3">
        <v>1</v>
      </c>
      <c r="M142" s="3"/>
      <c r="N142" s="3"/>
      <c r="O142" s="3"/>
      <c r="P142" s="3"/>
      <c r="Q142" s="3"/>
      <c r="R142" s="3"/>
      <c r="S142" s="3">
        <v>1</v>
      </c>
      <c r="T142" s="3"/>
      <c r="U142" s="3"/>
      <c r="V142" s="3"/>
      <c r="W142" s="3"/>
      <c r="X142" s="3"/>
      <c r="Y142" s="3"/>
      <c r="Z142" s="3"/>
      <c r="AA142" s="3"/>
      <c r="AB142" s="3"/>
      <c r="AC142" s="3"/>
      <c r="AD142" s="3"/>
      <c r="AE142" s="3"/>
      <c r="AF142" s="3"/>
    </row>
    <row r="143" spans="1:32" ht="60" x14ac:dyDescent="0.2">
      <c r="A143" s="29" t="s">
        <v>29</v>
      </c>
      <c r="B143" s="26" t="s">
        <v>140</v>
      </c>
      <c r="C143" s="36">
        <v>43038</v>
      </c>
      <c r="D143" s="31" t="s">
        <v>309</v>
      </c>
      <c r="E143" s="26" t="s">
        <v>158</v>
      </c>
      <c r="F143" s="21" t="str">
        <f>HYPERLINK("http://www.njbiz.com/article/20171030/NJBIZ01/171039992/nj-invests-84m-to-expand-talent-development-centers","Source")</f>
        <v>Source</v>
      </c>
      <c r="G143" s="1"/>
      <c r="H143" s="8" t="s">
        <v>80</v>
      </c>
      <c r="I143" s="3">
        <v>1</v>
      </c>
      <c r="J143" s="3">
        <v>1</v>
      </c>
      <c r="K143" s="3"/>
      <c r="L143" s="3"/>
      <c r="M143" s="3"/>
      <c r="N143" s="3"/>
      <c r="O143" s="3"/>
      <c r="P143" s="3"/>
      <c r="Q143" s="3"/>
      <c r="R143" s="3"/>
      <c r="S143" s="3"/>
      <c r="T143" s="3"/>
      <c r="U143" s="3"/>
      <c r="V143" s="3"/>
      <c r="W143" s="3"/>
      <c r="X143" s="3"/>
      <c r="Y143" s="3"/>
      <c r="Z143" s="1"/>
      <c r="AA143" s="1"/>
      <c r="AB143" s="1"/>
      <c r="AC143" s="1"/>
      <c r="AD143" s="1"/>
      <c r="AE143" s="1"/>
      <c r="AF143" s="1"/>
    </row>
    <row r="144" spans="1:32" ht="144" x14ac:dyDescent="0.2">
      <c r="A144" s="29" t="s">
        <v>29</v>
      </c>
      <c r="B144" s="26" t="s">
        <v>96</v>
      </c>
      <c r="C144" s="26"/>
      <c r="D144" s="26" t="s">
        <v>157</v>
      </c>
      <c r="E144" s="26" t="s">
        <v>377</v>
      </c>
      <c r="F144" s="21" t="str">
        <f>HYPERLINK("http://www.njbiz.com/article/20170920/NJBIZ01/170919823/new-jersey-commits-to-65-educational-attainment-rate-by-2025-highest-in-the-nation","Source")</f>
        <v>Source</v>
      </c>
      <c r="G144" s="1"/>
      <c r="H144" s="8" t="s">
        <v>75</v>
      </c>
      <c r="I144" s="3">
        <v>1</v>
      </c>
      <c r="J144" s="3">
        <v>1</v>
      </c>
      <c r="K144" s="3"/>
      <c r="L144" s="3">
        <v>1</v>
      </c>
      <c r="M144" s="3"/>
      <c r="N144" s="3"/>
      <c r="O144" s="3"/>
      <c r="P144" s="3"/>
      <c r="Q144" s="3"/>
      <c r="R144" s="3"/>
      <c r="S144" s="3"/>
      <c r="T144" s="3"/>
      <c r="U144" s="3"/>
      <c r="V144" s="3"/>
      <c r="W144" s="3"/>
      <c r="X144" s="3"/>
      <c r="Y144" s="3"/>
      <c r="Z144" s="3"/>
      <c r="AA144" s="3"/>
      <c r="AB144" s="3"/>
      <c r="AC144" s="3"/>
      <c r="AD144" s="3"/>
      <c r="AE144" s="3"/>
      <c r="AF144" s="3"/>
    </row>
    <row r="145" spans="1:32" ht="48" x14ac:dyDescent="0.2">
      <c r="A145" s="29" t="s">
        <v>29</v>
      </c>
      <c r="B145" s="26" t="s">
        <v>74</v>
      </c>
      <c r="C145" s="26"/>
      <c r="D145" s="28" t="str">
        <f>HYPERLINK("http://www.nj.gov/treasury/omb/publications/18budget/pdf/FY2018AppropAct-PL2017c99.pdf","Budget")</f>
        <v>Budget</v>
      </c>
      <c r="E145" s="26" t="s">
        <v>159</v>
      </c>
      <c r="F145" s="21"/>
      <c r="G145" s="1"/>
      <c r="H145" s="8" t="s">
        <v>73</v>
      </c>
      <c r="I145" s="3">
        <v>1</v>
      </c>
      <c r="J145" s="3">
        <v>1</v>
      </c>
      <c r="K145" s="3"/>
      <c r="L145" s="3"/>
      <c r="M145" s="3"/>
      <c r="N145" s="3"/>
      <c r="O145" s="3"/>
      <c r="P145" s="3"/>
      <c r="Q145" s="3"/>
      <c r="R145" s="3"/>
      <c r="S145" s="3"/>
      <c r="T145" s="3"/>
      <c r="U145" s="3"/>
      <c r="V145" s="3"/>
      <c r="W145" s="3"/>
      <c r="X145" s="3"/>
      <c r="Y145" s="3"/>
      <c r="Z145" s="1"/>
      <c r="AA145" s="1"/>
      <c r="AB145" s="1"/>
      <c r="AC145" s="1"/>
      <c r="AD145" s="1"/>
      <c r="AE145" s="1"/>
      <c r="AF145" s="1"/>
    </row>
    <row r="146" spans="1:32" ht="48" x14ac:dyDescent="0.2">
      <c r="A146" s="29" t="s">
        <v>30</v>
      </c>
      <c r="B146" s="26" t="s">
        <v>114</v>
      </c>
      <c r="C146" s="26"/>
      <c r="D146" s="28" t="str">
        <f>HYPERLINK("https://www2.ed.gov/admins/lead/account/stateplan17/nmcsa2017.pdf","NM's ESSA state plan")</f>
        <v>NM's ESSA state plan</v>
      </c>
      <c r="E146" s="26" t="s">
        <v>160</v>
      </c>
      <c r="F146" s="1"/>
      <c r="G146" s="1" t="s">
        <v>86</v>
      </c>
      <c r="H146" s="8" t="s">
        <v>73</v>
      </c>
      <c r="I146" s="3"/>
      <c r="J146" s="3"/>
      <c r="K146" s="3"/>
      <c r="L146" s="3">
        <v>1</v>
      </c>
      <c r="M146" s="3"/>
      <c r="N146" s="3">
        <v>1</v>
      </c>
      <c r="O146" s="3">
        <v>1</v>
      </c>
      <c r="P146" s="3"/>
      <c r="Q146" s="3"/>
      <c r="R146" s="3"/>
      <c r="S146" s="3"/>
      <c r="T146" s="3"/>
      <c r="U146" s="3"/>
      <c r="V146" s="3"/>
      <c r="W146" s="3"/>
      <c r="X146" s="3"/>
      <c r="Y146" s="3"/>
      <c r="Z146" s="1"/>
      <c r="AA146" s="1"/>
      <c r="AB146" s="1"/>
      <c r="AC146" s="1"/>
      <c r="AD146" s="1"/>
      <c r="AE146" s="1"/>
      <c r="AF146" s="1"/>
    </row>
    <row r="147" spans="1:32" ht="36" x14ac:dyDescent="0.2">
      <c r="A147" s="29" t="s">
        <v>31</v>
      </c>
      <c r="B147" s="26" t="s">
        <v>74</v>
      </c>
      <c r="C147" s="27">
        <v>42832</v>
      </c>
      <c r="D147" s="37" t="str">
        <f>HYPERLINK("https://www.budget.ny.gov/pubs/press/2017/pressRelease17-enactedPassage.html","Budget")</f>
        <v>Budget</v>
      </c>
      <c r="E147" s="26" t="s">
        <v>311</v>
      </c>
      <c r="F147" s="23" t="str">
        <f>HYPERLINK("https://www.nytimes.com/2017/01/03/nyregion/free-tuition-new-york-colleges-plan.html?nytmobile=0&amp;_r=0","Source")</f>
        <v>Source</v>
      </c>
      <c r="G147" s="1"/>
      <c r="H147" s="8" t="s">
        <v>121</v>
      </c>
      <c r="I147" s="3">
        <v>1</v>
      </c>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4" x14ac:dyDescent="0.2">
      <c r="A148" s="29" t="s">
        <v>31</v>
      </c>
      <c r="B148" s="26" t="s">
        <v>114</v>
      </c>
      <c r="C148" s="27"/>
      <c r="D148" s="28" t="str">
        <f>HYPERLINK("https://www2.ed.gov/admins/lead/account/stateplan17/nyconsolidatedstateplan.pdf","NY's ESSA plan")</f>
        <v>NY's ESSA plan</v>
      </c>
      <c r="E148" s="26" t="s">
        <v>161</v>
      </c>
      <c r="F148" s="1"/>
      <c r="G148" s="1" t="s">
        <v>86</v>
      </c>
      <c r="H148" s="8" t="s">
        <v>73</v>
      </c>
      <c r="I148" s="3"/>
      <c r="J148" s="3"/>
      <c r="K148" s="3"/>
      <c r="L148" s="3">
        <v>1</v>
      </c>
      <c r="M148" s="3">
        <v>1</v>
      </c>
      <c r="N148" s="3">
        <v>1</v>
      </c>
      <c r="O148" s="3"/>
      <c r="P148" s="3"/>
      <c r="Q148" s="3">
        <v>1</v>
      </c>
      <c r="R148" s="3"/>
      <c r="S148" s="3"/>
      <c r="T148" s="3"/>
      <c r="U148" s="3"/>
      <c r="V148" s="3"/>
      <c r="W148" s="3"/>
      <c r="X148" s="3"/>
      <c r="Y148" s="3"/>
      <c r="Z148" s="5"/>
      <c r="AA148" s="5"/>
      <c r="AB148" s="5"/>
      <c r="AC148" s="5"/>
      <c r="AD148" s="5"/>
      <c r="AE148" s="5"/>
      <c r="AF148" s="5"/>
    </row>
    <row r="149" spans="1:32" ht="36" x14ac:dyDescent="0.2">
      <c r="A149" s="29" t="s">
        <v>31</v>
      </c>
      <c r="B149" s="26" t="s">
        <v>72</v>
      </c>
      <c r="C149" s="27">
        <v>43031</v>
      </c>
      <c r="D149" s="28" t="str">
        <f>HYPERLINK("http://nyassembly.gov/leg/?bn=A07971","A7971")</f>
        <v>A7971</v>
      </c>
      <c r="E149" s="26" t="s">
        <v>310</v>
      </c>
      <c r="F149" s="1"/>
      <c r="G149" s="1"/>
      <c r="H149" s="8" t="s">
        <v>73</v>
      </c>
      <c r="I149" s="3"/>
      <c r="J149" s="3"/>
      <c r="K149" s="3"/>
      <c r="L149" s="3"/>
      <c r="M149" s="3"/>
      <c r="N149" s="3">
        <v>1</v>
      </c>
      <c r="O149" s="3"/>
      <c r="P149" s="3"/>
      <c r="Q149" s="3"/>
      <c r="R149" s="3"/>
      <c r="S149" s="3"/>
      <c r="T149" s="3"/>
      <c r="U149" s="3"/>
      <c r="V149" s="3"/>
      <c r="W149" s="3"/>
      <c r="X149" s="3"/>
      <c r="Y149" s="3"/>
      <c r="Z149" s="3"/>
      <c r="AA149" s="3"/>
      <c r="AB149" s="3"/>
      <c r="AC149" s="3"/>
      <c r="AD149" s="3"/>
      <c r="AE149" s="3"/>
      <c r="AF149" s="3"/>
    </row>
    <row r="150" spans="1:32" ht="60" x14ac:dyDescent="0.2">
      <c r="A150" s="29" t="s">
        <v>31</v>
      </c>
      <c r="B150" s="26" t="s">
        <v>72</v>
      </c>
      <c r="C150" s="27">
        <v>42835</v>
      </c>
      <c r="D150" s="28" t="str">
        <f>HYPERLINK("http://assembly.state.ny.us/leg/?default_fld=&amp;bn=A03009&amp;term=2017&amp;Summary=Y&amp;Actions=Y&amp;Text=Y&amp;Committee%26nbspVotes=Y&amp;Floor%26nbspVotes=Y","A 3009")</f>
        <v>A 3009</v>
      </c>
      <c r="E150" s="26" t="s">
        <v>162</v>
      </c>
      <c r="F150" s="21" t="str">
        <f>HYPERLINK("http://www.nationalskillscoalition.org/resources/publications/file/2017-Legislative-Roundup.pdf","Source")</f>
        <v>Source</v>
      </c>
      <c r="G150" s="1"/>
      <c r="H150" s="8" t="s">
        <v>80</v>
      </c>
      <c r="I150" s="3">
        <v>1</v>
      </c>
      <c r="J150" s="3">
        <v>1</v>
      </c>
      <c r="K150" s="3"/>
      <c r="L150" s="3"/>
      <c r="M150" s="3"/>
      <c r="N150" s="3"/>
      <c r="O150" s="3"/>
      <c r="P150" s="3"/>
      <c r="Q150" s="3"/>
      <c r="R150" s="3"/>
      <c r="S150" s="3"/>
      <c r="T150" s="3"/>
      <c r="U150" s="3"/>
      <c r="V150" s="3"/>
      <c r="W150" s="3"/>
      <c r="X150" s="3"/>
      <c r="Y150" s="3">
        <v>1</v>
      </c>
      <c r="Z150" s="5"/>
      <c r="AA150" s="5"/>
      <c r="AB150" s="5"/>
      <c r="AC150" s="5"/>
      <c r="AD150" s="5"/>
      <c r="AE150" s="5"/>
      <c r="AF150" s="5"/>
    </row>
    <row r="151" spans="1:32" ht="408" x14ac:dyDescent="0.2">
      <c r="A151" s="29" t="s">
        <v>32</v>
      </c>
      <c r="B151" s="26" t="s">
        <v>74</v>
      </c>
      <c r="C151" s="27">
        <v>42914</v>
      </c>
      <c r="D151" s="28" t="str">
        <f>HYPERLINK("http://www.ncleg.net/gascripts/BillLookUp/BillLookUp.pl?Session=2017&amp;BillID=s257&amp;submitButton=Go","SB257")</f>
        <v>SB257</v>
      </c>
      <c r="E151" s="26" t="s">
        <v>312</v>
      </c>
      <c r="F151" s="1"/>
      <c r="G151" s="1"/>
      <c r="H151" s="8" t="s">
        <v>121</v>
      </c>
      <c r="I151" s="3">
        <v>1</v>
      </c>
      <c r="J151" s="3">
        <v>1</v>
      </c>
      <c r="K151" s="3"/>
      <c r="L151" s="3">
        <v>1</v>
      </c>
      <c r="M151" s="3"/>
      <c r="N151" s="3">
        <v>1</v>
      </c>
      <c r="O151" s="3">
        <v>1</v>
      </c>
      <c r="P151" s="3"/>
      <c r="Q151" s="3"/>
      <c r="R151" s="3">
        <v>1</v>
      </c>
      <c r="S151" s="3">
        <v>1</v>
      </c>
      <c r="T151" s="3">
        <v>1</v>
      </c>
      <c r="U151" s="3"/>
      <c r="V151" s="3"/>
      <c r="W151" s="3"/>
      <c r="X151" s="3"/>
      <c r="Y151" s="3">
        <v>1</v>
      </c>
      <c r="Z151" s="3"/>
      <c r="AA151" s="3"/>
      <c r="AB151" s="3"/>
      <c r="AC151" s="3"/>
      <c r="AD151" s="3"/>
      <c r="AE151" s="3"/>
      <c r="AF151" s="3"/>
    </row>
    <row r="152" spans="1:32" ht="24" x14ac:dyDescent="0.2">
      <c r="A152" s="29" t="s">
        <v>32</v>
      </c>
      <c r="B152" s="26" t="s">
        <v>114</v>
      </c>
      <c r="C152" s="27"/>
      <c r="D152" s="28" t="str">
        <f>HYPERLINK("http://www.ncpublicschools.org/docs/succeeds/essa-state-plan.pdf","NC's ESSA plan")</f>
        <v>NC's ESSA plan</v>
      </c>
      <c r="E152" s="26" t="s">
        <v>378</v>
      </c>
      <c r="F152" s="1"/>
      <c r="G152" s="1" t="s">
        <v>86</v>
      </c>
      <c r="H152" s="8" t="s">
        <v>73</v>
      </c>
      <c r="I152" s="3"/>
      <c r="J152" s="3"/>
      <c r="K152" s="3"/>
      <c r="L152" s="3"/>
      <c r="M152" s="3"/>
      <c r="N152" s="3">
        <v>1</v>
      </c>
      <c r="O152" s="3"/>
      <c r="P152" s="3"/>
      <c r="Q152" s="3">
        <v>1</v>
      </c>
      <c r="R152" s="3"/>
      <c r="S152" s="3"/>
      <c r="T152" s="3"/>
      <c r="U152" s="3"/>
      <c r="V152" s="3"/>
      <c r="W152" s="3"/>
      <c r="X152" s="3"/>
      <c r="Y152" s="3"/>
      <c r="Z152" s="3"/>
      <c r="AA152" s="3"/>
      <c r="AB152" s="3"/>
      <c r="AC152" s="3"/>
      <c r="AD152" s="3"/>
      <c r="AE152" s="3"/>
      <c r="AF152" s="3"/>
    </row>
    <row r="153" spans="1:32" ht="72" x14ac:dyDescent="0.2">
      <c r="A153" s="29" t="s">
        <v>33</v>
      </c>
      <c r="B153" s="26" t="s">
        <v>114</v>
      </c>
      <c r="C153" s="27"/>
      <c r="D153" s="28" t="str">
        <f>HYPERLINK("http://www.nd.gov/cte/teacher-cert/docs/SecondaryLicensingReq.pdf","Licensing requirements")</f>
        <v>Licensing requirements</v>
      </c>
      <c r="E153" s="26" t="s">
        <v>163</v>
      </c>
      <c r="F153" s="1"/>
      <c r="G153" s="1"/>
      <c r="H153" s="8" t="s">
        <v>73</v>
      </c>
      <c r="I153" s="3"/>
      <c r="J153" s="3"/>
      <c r="K153" s="3"/>
      <c r="L153" s="3"/>
      <c r="M153" s="3"/>
      <c r="N153" s="3"/>
      <c r="O153" s="3"/>
      <c r="P153" s="3"/>
      <c r="Q153" s="3"/>
      <c r="R153" s="3">
        <v>1</v>
      </c>
      <c r="S153" s="3"/>
      <c r="T153" s="3"/>
      <c r="U153" s="3"/>
      <c r="V153" s="3"/>
      <c r="W153" s="3">
        <v>1</v>
      </c>
      <c r="X153" s="3"/>
      <c r="Y153" s="3"/>
      <c r="Z153" s="3"/>
      <c r="AA153" s="3"/>
      <c r="AB153" s="3"/>
      <c r="AC153" s="3"/>
      <c r="AD153" s="3"/>
      <c r="AE153" s="3"/>
      <c r="AF153" s="3"/>
    </row>
    <row r="154" spans="1:32" ht="48" x14ac:dyDescent="0.2">
      <c r="A154" s="29" t="s">
        <v>33</v>
      </c>
      <c r="B154" s="26" t="s">
        <v>114</v>
      </c>
      <c r="C154" s="26"/>
      <c r="D154" s="28" t="str">
        <f>HYPERLINK("https://www.nd.gov/dpi/uploads/1494/FinalNDESSAPlanforSubmission.pdf","ND's ESSA Plan")</f>
        <v>ND's ESSA Plan</v>
      </c>
      <c r="E154" s="26" t="s">
        <v>379</v>
      </c>
      <c r="F154" s="1"/>
      <c r="G154" s="1" t="s">
        <v>86</v>
      </c>
      <c r="H154" s="8" t="s">
        <v>73</v>
      </c>
      <c r="I154" s="3"/>
      <c r="J154" s="3">
        <v>1</v>
      </c>
      <c r="K154" s="3">
        <v>1</v>
      </c>
      <c r="L154" s="3">
        <v>1</v>
      </c>
      <c r="M154" s="3"/>
      <c r="N154" s="3">
        <v>1</v>
      </c>
      <c r="O154" s="3"/>
      <c r="P154" s="3"/>
      <c r="Q154" s="3">
        <v>1</v>
      </c>
      <c r="R154" s="3"/>
      <c r="S154" s="3"/>
      <c r="T154" s="3"/>
      <c r="U154" s="3"/>
      <c r="V154" s="3"/>
      <c r="W154" s="3"/>
      <c r="X154" s="3"/>
      <c r="Y154" s="3"/>
      <c r="Z154" s="3"/>
      <c r="AA154" s="3"/>
      <c r="AB154" s="3"/>
      <c r="AC154" s="3"/>
      <c r="AD154" s="3"/>
      <c r="AE154" s="3"/>
      <c r="AF154" s="3"/>
    </row>
    <row r="155" spans="1:32" ht="48" x14ac:dyDescent="0.2">
      <c r="A155" s="29" t="s">
        <v>33</v>
      </c>
      <c r="B155" s="26" t="s">
        <v>72</v>
      </c>
      <c r="C155" s="26"/>
      <c r="D155" s="28" t="str">
        <f>HYPERLINK("http://www.legis.nd.gov/assembly/65-2017/bill-index/bi2186.html","SB2186")</f>
        <v>SB2186</v>
      </c>
      <c r="E155" s="26" t="s">
        <v>313</v>
      </c>
      <c r="F155" s="21" t="str">
        <f>HYPERLINK("http://www.grandforksherald.com/news/4232874-area-educators-react-state-education-innovation-bill","Source")</f>
        <v>Source</v>
      </c>
      <c r="G155" s="1"/>
      <c r="H155" s="8" t="s">
        <v>73</v>
      </c>
      <c r="I155" s="3"/>
      <c r="J155" s="3"/>
      <c r="K155" s="3"/>
      <c r="L155" s="3"/>
      <c r="M155" s="3"/>
      <c r="N155" s="3"/>
      <c r="O155" s="3"/>
      <c r="P155" s="3"/>
      <c r="Q155" s="3">
        <v>1</v>
      </c>
      <c r="R155" s="3"/>
      <c r="S155" s="3"/>
      <c r="T155" s="3"/>
      <c r="U155" s="3"/>
      <c r="V155" s="3">
        <v>1</v>
      </c>
      <c r="W155" s="3"/>
      <c r="X155" s="3"/>
      <c r="Y155" s="3"/>
      <c r="Z155" s="3"/>
      <c r="AA155" s="3"/>
      <c r="AB155" s="3"/>
      <c r="AC155" s="3"/>
      <c r="AD155" s="3"/>
      <c r="AE155" s="3"/>
      <c r="AF155" s="3"/>
    </row>
    <row r="156" spans="1:32" ht="36" x14ac:dyDescent="0.2">
      <c r="A156" s="29" t="s">
        <v>33</v>
      </c>
      <c r="B156" s="26" t="s">
        <v>72</v>
      </c>
      <c r="C156" s="27">
        <v>42809</v>
      </c>
      <c r="D156" s="28" t="str">
        <f>HYPERLINK("http://www.legis.nd.gov/assembly/65-2017/bill-actions/ba2104.html","SB2104")</f>
        <v>SB2104</v>
      </c>
      <c r="E156" s="26" t="s">
        <v>164</v>
      </c>
      <c r="F156" s="21" t="str">
        <f>HYPERLINK("http://www.workforcedqc.org/news/blog/states-pass-data-legislation-first-quarter-2017","Source")</f>
        <v>Source</v>
      </c>
      <c r="G156" s="1"/>
      <c r="H156" s="8" t="s">
        <v>80</v>
      </c>
      <c r="I156" s="3"/>
      <c r="J156" s="3"/>
      <c r="K156" s="3"/>
      <c r="L156" s="3"/>
      <c r="M156" s="3"/>
      <c r="N156" s="3">
        <v>1</v>
      </c>
      <c r="O156" s="3"/>
      <c r="P156" s="3"/>
      <c r="Q156" s="3"/>
      <c r="R156" s="3"/>
      <c r="S156" s="3"/>
      <c r="T156" s="3"/>
      <c r="U156" s="3"/>
      <c r="V156" s="3"/>
      <c r="W156" s="3"/>
      <c r="X156" s="3"/>
      <c r="Y156" s="3"/>
      <c r="Z156" s="3"/>
      <c r="AA156" s="3"/>
      <c r="AB156" s="3"/>
      <c r="AC156" s="3"/>
      <c r="AD156" s="3"/>
      <c r="AE156" s="3"/>
      <c r="AF156" s="3"/>
    </row>
    <row r="157" spans="1:32" ht="409.5" x14ac:dyDescent="0.2">
      <c r="A157" s="29" t="s">
        <v>34</v>
      </c>
      <c r="B157" s="26" t="s">
        <v>74</v>
      </c>
      <c r="C157" s="27">
        <v>42915</v>
      </c>
      <c r="D157" s="32" t="str">
        <f>HYPERLINK("https://www.legislature.ohio.gov/download?key=7593&amp;format=pdf","Budget")</f>
        <v>Budget</v>
      </c>
      <c r="E157" s="38" t="s">
        <v>314</v>
      </c>
      <c r="F157" s="1"/>
      <c r="G157" s="1"/>
      <c r="H157" s="8" t="s">
        <v>121</v>
      </c>
      <c r="I157" s="1">
        <v>1</v>
      </c>
      <c r="J157" s="1">
        <v>1</v>
      </c>
      <c r="K157" s="1">
        <v>1</v>
      </c>
      <c r="L157" s="1">
        <v>1</v>
      </c>
      <c r="M157" s="1">
        <v>1</v>
      </c>
      <c r="N157" s="1"/>
      <c r="O157" s="1">
        <v>1</v>
      </c>
      <c r="P157" s="1"/>
      <c r="Q157" s="1"/>
      <c r="R157" s="1"/>
      <c r="S157" s="1">
        <v>1</v>
      </c>
      <c r="T157" s="1"/>
      <c r="U157" s="1"/>
      <c r="V157" s="1">
        <v>1</v>
      </c>
      <c r="W157" s="1"/>
      <c r="X157" s="1"/>
      <c r="Y157" s="1">
        <v>1</v>
      </c>
      <c r="Z157" s="3"/>
      <c r="AA157" s="3"/>
      <c r="AB157" s="3"/>
      <c r="AC157" s="3"/>
      <c r="AD157" s="3"/>
      <c r="AE157" s="3"/>
      <c r="AF157" s="3"/>
    </row>
    <row r="158" spans="1:32" ht="24" x14ac:dyDescent="0.2">
      <c r="A158" s="29" t="s">
        <v>34</v>
      </c>
      <c r="B158" s="26" t="s">
        <v>114</v>
      </c>
      <c r="C158" s="27"/>
      <c r="D158" s="32" t="str">
        <f>HYPERLINK("https://www2.ed.gov/admins/lead/account/stateplan17/ohconsolidatedstateplan.pdf"," OH's state plan")</f>
        <v xml:space="preserve"> OH's state plan</v>
      </c>
      <c r="E158" s="26" t="s">
        <v>165</v>
      </c>
      <c r="F158" s="1"/>
      <c r="G158" s="1" t="s">
        <v>86</v>
      </c>
      <c r="H158" s="8" t="s">
        <v>73</v>
      </c>
      <c r="I158" s="1"/>
      <c r="J158" s="1"/>
      <c r="K158" s="1">
        <v>1</v>
      </c>
      <c r="L158" s="1">
        <v>1</v>
      </c>
      <c r="M158" s="1"/>
      <c r="N158" s="1">
        <v>1</v>
      </c>
      <c r="O158" s="1"/>
      <c r="P158" s="1"/>
      <c r="Q158" s="1"/>
      <c r="R158" s="1"/>
      <c r="S158" s="1"/>
      <c r="T158" s="1"/>
      <c r="U158" s="1"/>
      <c r="V158" s="1"/>
      <c r="W158" s="1"/>
      <c r="X158" s="1"/>
      <c r="Y158" s="1"/>
      <c r="Z158" s="3"/>
      <c r="AA158" s="3"/>
      <c r="AB158" s="3"/>
      <c r="AC158" s="3"/>
      <c r="AD158" s="3"/>
      <c r="AE158" s="3"/>
      <c r="AF158" s="3"/>
    </row>
    <row r="159" spans="1:32" ht="72" x14ac:dyDescent="0.2">
      <c r="A159" s="29" t="s">
        <v>34</v>
      </c>
      <c r="B159" s="26" t="s">
        <v>385</v>
      </c>
      <c r="C159" s="27"/>
      <c r="D159" s="32" t="str">
        <f>HYPERLINK("http://education.ohio.gov/Topics/New-Skills-for-Youth/SuccessBound/OhioMeansJobs-Readiness-Seal","OhioMeansJobs-Readiness Seal")</f>
        <v>OhioMeansJobs-Readiness Seal</v>
      </c>
      <c r="E159" s="26" t="s">
        <v>166</v>
      </c>
      <c r="F159" s="1" t="s">
        <v>144</v>
      </c>
      <c r="G159" s="1"/>
      <c r="H159" s="8" t="s">
        <v>73</v>
      </c>
      <c r="I159" s="1"/>
      <c r="J159" s="1"/>
      <c r="K159" s="1"/>
      <c r="L159" s="1"/>
      <c r="M159" s="1">
        <v>1</v>
      </c>
      <c r="N159" s="1"/>
      <c r="O159" s="1"/>
      <c r="P159" s="1"/>
      <c r="Q159" s="1"/>
      <c r="R159" s="1"/>
      <c r="S159" s="1"/>
      <c r="T159" s="1"/>
      <c r="U159" s="1"/>
      <c r="V159" s="1"/>
      <c r="W159" s="1"/>
      <c r="X159" s="1"/>
      <c r="Y159" s="1"/>
      <c r="Z159" s="1"/>
      <c r="AA159" s="1"/>
      <c r="AB159" s="1"/>
      <c r="AC159" s="1"/>
      <c r="AD159" s="1"/>
      <c r="AE159" s="1"/>
      <c r="AF159" s="1"/>
    </row>
    <row r="160" spans="1:32" ht="60" x14ac:dyDescent="0.2">
      <c r="A160" s="29" t="s">
        <v>35</v>
      </c>
      <c r="B160" s="26" t="s">
        <v>74</v>
      </c>
      <c r="C160" s="26"/>
      <c r="D160" s="32" t="str">
        <f>HYPERLINK("http://www.oklegislature.gov/BillInfo.aspx?Bill=sb860&amp;Session=1700","Budget")</f>
        <v>Budget</v>
      </c>
      <c r="E160" s="26" t="s">
        <v>315</v>
      </c>
      <c r="F160" s="11" t="str">
        <f>HYPERLINK("http://www.oudaily.com/news/oklahoma-legislature-sends-budget-to-gov-mary-fallin-higher-education/article_6441f514-4234-11e7-a593-13fee585f975.html","Source")</f>
        <v>Source</v>
      </c>
      <c r="G160" s="1"/>
      <c r="H160" s="8" t="s">
        <v>81</v>
      </c>
      <c r="I160" s="1">
        <v>1</v>
      </c>
      <c r="J160" s="1"/>
      <c r="K160" s="1"/>
      <c r="L160" s="1"/>
      <c r="M160" s="1"/>
      <c r="N160" s="1"/>
      <c r="O160" s="1"/>
      <c r="P160" s="1"/>
      <c r="Q160" s="1"/>
      <c r="R160" s="1"/>
      <c r="S160" s="1"/>
      <c r="T160" s="1"/>
      <c r="U160" s="1"/>
      <c r="V160" s="1"/>
      <c r="W160" s="1"/>
      <c r="X160" s="1"/>
      <c r="Y160" s="1"/>
      <c r="Z160" s="3"/>
      <c r="AA160" s="3"/>
      <c r="AB160" s="3"/>
      <c r="AC160" s="3"/>
      <c r="AD160" s="3"/>
      <c r="AE160" s="3"/>
      <c r="AF160" s="3"/>
    </row>
    <row r="161" spans="1:32" ht="60" x14ac:dyDescent="0.2">
      <c r="A161" s="29" t="s">
        <v>35</v>
      </c>
      <c r="B161" s="26" t="s">
        <v>111</v>
      </c>
      <c r="C161" s="27"/>
      <c r="D161" s="28" t="str">
        <f>HYPERLINK("https://oklahomaworks.gov/docs/2017/04/Launch-OK-Strategic-Recommendations-2017.pdf","Strategic Plan")</f>
        <v>Strategic Plan</v>
      </c>
      <c r="E161" s="26" t="s">
        <v>167</v>
      </c>
      <c r="F161" s="1"/>
      <c r="G161" s="1"/>
      <c r="H161" s="8" t="s">
        <v>75</v>
      </c>
      <c r="I161" s="3"/>
      <c r="J161" s="3">
        <v>1</v>
      </c>
      <c r="K161" s="3"/>
      <c r="L161" s="3">
        <v>1</v>
      </c>
      <c r="M161" s="3"/>
      <c r="N161" s="3"/>
      <c r="O161" s="3"/>
      <c r="P161" s="3"/>
      <c r="Q161" s="3"/>
      <c r="R161" s="3"/>
      <c r="S161" s="3"/>
      <c r="T161" s="3"/>
      <c r="U161" s="3"/>
      <c r="V161" s="3"/>
      <c r="W161" s="3"/>
      <c r="X161" s="3"/>
      <c r="Y161" s="3"/>
      <c r="Z161" s="3"/>
      <c r="AA161" s="3"/>
      <c r="AB161" s="3"/>
      <c r="AC161" s="3"/>
      <c r="AD161" s="3"/>
      <c r="AE161" s="3"/>
      <c r="AF161" s="3"/>
    </row>
    <row r="162" spans="1:32" ht="60" x14ac:dyDescent="0.2">
      <c r="A162" s="29" t="s">
        <v>35</v>
      </c>
      <c r="B162" s="26" t="s">
        <v>96</v>
      </c>
      <c r="C162" s="27">
        <v>43042</v>
      </c>
      <c r="D162" s="28" t="str">
        <f>HYPERLINK("https://www.ok.gov/triton/modules/newsroom/newsroom_article.php?id=223&amp;article_id=37525","Earn &amp; Learn Oklahoma")</f>
        <v>Earn &amp; Learn Oklahoma</v>
      </c>
      <c r="E162" s="26" t="s">
        <v>169</v>
      </c>
      <c r="F162" s="21" t="str">
        <f>HYPERLINK("http://newsok.com/oklahoma-gov.-mary-fallin-sets-goal-for-apprenticeships-to-help-address-the-states-skills-gap/article/5570609","Source")</f>
        <v>Source</v>
      </c>
      <c r="G162" s="1"/>
      <c r="H162" s="8" t="s">
        <v>121</v>
      </c>
      <c r="I162" s="3"/>
      <c r="J162" s="3">
        <v>1</v>
      </c>
      <c r="K162" s="3"/>
      <c r="L162" s="3"/>
      <c r="M162" s="3"/>
      <c r="N162" s="3"/>
      <c r="O162" s="3"/>
      <c r="P162" s="3"/>
      <c r="Q162" s="3"/>
      <c r="R162" s="3"/>
      <c r="S162" s="3"/>
      <c r="T162" s="3"/>
      <c r="U162" s="3"/>
      <c r="V162" s="3"/>
      <c r="W162" s="3"/>
      <c r="X162" s="3"/>
      <c r="Y162" s="3"/>
      <c r="Z162" s="3"/>
      <c r="AA162" s="3"/>
      <c r="AB162" s="3"/>
      <c r="AC162" s="3"/>
      <c r="AD162" s="3"/>
      <c r="AE162" s="3"/>
      <c r="AF162" s="3"/>
    </row>
    <row r="163" spans="1:32" ht="72" x14ac:dyDescent="0.2">
      <c r="A163" s="29" t="s">
        <v>35</v>
      </c>
      <c r="B163" s="26" t="s">
        <v>72</v>
      </c>
      <c r="C163" s="27">
        <v>42853</v>
      </c>
      <c r="D163" s="28" t="str">
        <f>HYPERLINK("http://www.oklegislature.gov/BillInfo.aspx?Bill=hb1693&amp;Session=1700","HB1693")</f>
        <v>HB1693</v>
      </c>
      <c r="E163" s="26" t="s">
        <v>380</v>
      </c>
      <c r="F163" s="21" t="str">
        <f>HYPERLINK("http://www.rfrlaw.com/site/rte_uploads/files/HB%201693.pdf","Source")</f>
        <v>Source</v>
      </c>
      <c r="G163" s="1" t="s">
        <v>86</v>
      </c>
      <c r="H163" s="8" t="s">
        <v>73</v>
      </c>
      <c r="I163" s="3"/>
      <c r="J163" s="3">
        <v>1</v>
      </c>
      <c r="K163" s="3">
        <v>1</v>
      </c>
      <c r="L163" s="3">
        <v>1</v>
      </c>
      <c r="M163" s="3"/>
      <c r="N163" s="3">
        <v>1</v>
      </c>
      <c r="O163" s="3"/>
      <c r="P163" s="3"/>
      <c r="Q163" s="3"/>
      <c r="R163" s="3"/>
      <c r="S163" s="3"/>
      <c r="T163" s="3"/>
      <c r="U163" s="3"/>
      <c r="V163" s="3"/>
      <c r="W163" s="3"/>
      <c r="X163" s="3"/>
      <c r="Y163" s="3"/>
      <c r="Z163" s="3"/>
      <c r="AA163" s="3"/>
      <c r="AB163" s="3"/>
      <c r="AC163" s="3"/>
      <c r="AD163" s="3"/>
      <c r="AE163" s="3"/>
      <c r="AF163" s="3"/>
    </row>
    <row r="164" spans="1:32" ht="84" x14ac:dyDescent="0.2">
      <c r="A164" s="29" t="s">
        <v>35</v>
      </c>
      <c r="B164" s="26" t="s">
        <v>72</v>
      </c>
      <c r="C164" s="27">
        <v>42857</v>
      </c>
      <c r="D164" s="32" t="str">
        <f>HYPERLINK("http://www.oklegislature.gov/BillInfo.aspx?Bill=hb2155&amp;Session=1700","HB2155")</f>
        <v>HB2155</v>
      </c>
      <c r="E164" s="26" t="s">
        <v>168</v>
      </c>
      <c r="F164" s="11" t="str">
        <f>HYPERLINK("http://newsok.com/oklahoma-education-bills-include-targeting-school-waste-teacher-recruitment/article/5550844","Source")</f>
        <v>Source</v>
      </c>
      <c r="G164" s="1"/>
      <c r="H164" s="8" t="s">
        <v>73</v>
      </c>
      <c r="I164" s="1"/>
      <c r="J164" s="1">
        <v>1</v>
      </c>
      <c r="K164" s="1"/>
      <c r="L164" s="1"/>
      <c r="M164" s="1">
        <v>1</v>
      </c>
      <c r="N164" s="1"/>
      <c r="O164" s="1"/>
      <c r="P164" s="1"/>
      <c r="Q164" s="1"/>
      <c r="R164" s="1"/>
      <c r="S164" s="1">
        <v>1</v>
      </c>
      <c r="T164" s="1"/>
      <c r="U164" s="1"/>
      <c r="V164" s="1"/>
      <c r="W164" s="1"/>
      <c r="X164" s="1"/>
      <c r="Y164" s="1"/>
      <c r="Z164" s="3"/>
      <c r="AA164" s="3"/>
      <c r="AB164" s="3"/>
      <c r="AC164" s="3"/>
      <c r="AD164" s="3"/>
      <c r="AE164" s="3"/>
      <c r="AF164" s="3"/>
    </row>
    <row r="165" spans="1:32" ht="48" x14ac:dyDescent="0.2">
      <c r="A165" s="29" t="s">
        <v>36</v>
      </c>
      <c r="B165" s="26" t="s">
        <v>74</v>
      </c>
      <c r="C165" s="27">
        <v>42922</v>
      </c>
      <c r="D165" s="32" t="str">
        <f>HYPERLINK("https://olis.leg.state.or.us/liz/2017R1/Measures/Overview/SB5517","Budget")</f>
        <v>Budget</v>
      </c>
      <c r="E165" s="26" t="s">
        <v>316</v>
      </c>
      <c r="F165" s="11" t="str">
        <f>HYPERLINK("http://www.oregonlive.com/education/index.ssf/2016/08/post_38.html","Source")</f>
        <v>Source</v>
      </c>
      <c r="G165" s="1"/>
      <c r="H165" s="8" t="s">
        <v>81</v>
      </c>
      <c r="I165" s="1">
        <v>1</v>
      </c>
      <c r="J165" s="1"/>
      <c r="K165" s="1"/>
      <c r="L165" s="1"/>
      <c r="M165" s="1"/>
      <c r="N165" s="1"/>
      <c r="O165" s="1"/>
      <c r="P165" s="1"/>
      <c r="Q165" s="1"/>
      <c r="R165" s="1"/>
      <c r="S165" s="1"/>
      <c r="T165" s="1"/>
      <c r="U165" s="1"/>
      <c r="V165" s="1"/>
      <c r="W165" s="1"/>
      <c r="X165" s="1"/>
      <c r="Y165" s="1"/>
      <c r="Z165" s="5"/>
      <c r="AA165" s="5"/>
      <c r="AB165" s="5"/>
      <c r="AC165" s="5"/>
      <c r="AD165" s="5"/>
      <c r="AE165" s="5"/>
      <c r="AF165" s="5"/>
    </row>
    <row r="166" spans="1:32" ht="84" x14ac:dyDescent="0.2">
      <c r="A166" s="29" t="s">
        <v>36</v>
      </c>
      <c r="B166" s="26" t="s">
        <v>72</v>
      </c>
      <c r="C166" s="27">
        <v>42949</v>
      </c>
      <c r="D166" s="32" t="str">
        <f>HYPERLINK("https://olis.leg.state.or.us/liz/2017R1/Measures/Overview/HB2246","HB2246")</f>
        <v>HB2246</v>
      </c>
      <c r="E166" s="26" t="s">
        <v>170</v>
      </c>
      <c r="F166" s="11" t="str">
        <f>HYPERLINK("http://www.argusobserver.com/news/state-funding-of-vocational-education-is-now-in-limbo/article_3c2bf0fa-2459-11e7-b0b4-37fb0b14c0c6.html","Source")</f>
        <v>Source</v>
      </c>
      <c r="G166" s="1"/>
      <c r="H166" s="8" t="s">
        <v>73</v>
      </c>
      <c r="I166" s="1">
        <v>1</v>
      </c>
      <c r="J166" s="1"/>
      <c r="K166" s="1">
        <v>1</v>
      </c>
      <c r="L166" s="1"/>
      <c r="M166" s="1"/>
      <c r="N166" s="1"/>
      <c r="O166" s="1"/>
      <c r="P166" s="1"/>
      <c r="Q166" s="1"/>
      <c r="R166" s="1"/>
      <c r="S166" s="1"/>
      <c r="T166" s="1"/>
      <c r="U166" s="1"/>
      <c r="V166" s="1"/>
      <c r="W166" s="1"/>
      <c r="X166" s="1"/>
      <c r="Y166" s="1">
        <v>1</v>
      </c>
      <c r="Z166" s="5"/>
      <c r="AA166" s="5"/>
      <c r="AB166" s="5"/>
      <c r="AC166" s="5"/>
      <c r="AD166" s="5"/>
      <c r="AE166" s="5"/>
      <c r="AF166" s="5"/>
    </row>
    <row r="167" spans="1:32" ht="36" x14ac:dyDescent="0.2">
      <c r="A167" s="29" t="s">
        <v>36</v>
      </c>
      <c r="B167" s="26" t="s">
        <v>72</v>
      </c>
      <c r="C167" s="27">
        <v>42914</v>
      </c>
      <c r="D167" s="28" t="str">
        <f>HYPERLINK("http://gov.oregonlive.com/bill/2017/HB3340/","HB3340")</f>
        <v>HB3340</v>
      </c>
      <c r="E167" s="26" t="s">
        <v>171</v>
      </c>
      <c r="F167" s="21" t="str">
        <f>HYPERLINK("http://www.edweek.org/ew/articles/2017/10/04/growing-numbers-of-states-embrace-career-education.html?cmp=eml-enl-eu-news1&amp;M=58224513&amp;U=1903304","Source")</f>
        <v>Source</v>
      </c>
      <c r="G167" s="1"/>
      <c r="H167" s="8" t="s">
        <v>79</v>
      </c>
      <c r="I167" s="3"/>
      <c r="J167" s="3">
        <v>1</v>
      </c>
      <c r="K167" s="3"/>
      <c r="L167" s="3"/>
      <c r="M167" s="3"/>
      <c r="N167" s="3"/>
      <c r="O167" s="3"/>
      <c r="P167" s="3"/>
      <c r="Q167" s="3"/>
      <c r="R167" s="3"/>
      <c r="S167" s="3">
        <v>1</v>
      </c>
      <c r="T167" s="3"/>
      <c r="U167" s="3"/>
      <c r="V167" s="3"/>
      <c r="W167" s="3"/>
      <c r="X167" s="3"/>
      <c r="Y167" s="3"/>
      <c r="Z167" s="3"/>
      <c r="AA167" s="3"/>
      <c r="AB167" s="3"/>
      <c r="AC167" s="3"/>
      <c r="AD167" s="3"/>
      <c r="AE167" s="3"/>
      <c r="AF167" s="3"/>
    </row>
    <row r="168" spans="1:32" ht="12.75" x14ac:dyDescent="0.2">
      <c r="A168" s="29" t="s">
        <v>326</v>
      </c>
      <c r="B168" s="29" t="s">
        <v>321</v>
      </c>
      <c r="C168" s="35" t="s">
        <v>321</v>
      </c>
      <c r="D168" s="35" t="s">
        <v>321</v>
      </c>
      <c r="E168" s="29" t="s">
        <v>322</v>
      </c>
      <c r="F168" s="19"/>
      <c r="G168" s="19"/>
      <c r="H168" s="8"/>
      <c r="I168" s="13"/>
      <c r="J168" s="13"/>
      <c r="K168" s="13"/>
      <c r="L168" s="13"/>
      <c r="M168" s="13"/>
      <c r="N168" s="13"/>
      <c r="O168" s="13"/>
      <c r="P168" s="13"/>
      <c r="Q168" s="13"/>
      <c r="R168" s="13"/>
      <c r="S168" s="13"/>
      <c r="T168" s="13"/>
      <c r="U168" s="13"/>
      <c r="V168" s="13"/>
      <c r="W168" s="13"/>
      <c r="X168" s="13"/>
      <c r="Y168" s="13"/>
      <c r="Z168" s="3"/>
      <c r="AA168" s="3"/>
      <c r="AB168" s="3"/>
      <c r="AC168" s="3"/>
      <c r="AD168" s="3"/>
      <c r="AE168" s="3"/>
      <c r="AF168" s="3"/>
    </row>
    <row r="169" spans="1:32" ht="24" x14ac:dyDescent="0.2">
      <c r="A169" s="29" t="s">
        <v>37</v>
      </c>
      <c r="B169" s="26" t="s">
        <v>74</v>
      </c>
      <c r="C169" s="26"/>
      <c r="D169" s="28" t="str">
        <f>HYPERLINK("http://www.legis.state.pa.us/cfdocs/billInfo/billInfo.cfm?sYear=2017&amp;sInd=0&amp;body=H&amp;type=B&amp;bn=218","HB218")</f>
        <v>HB218</v>
      </c>
      <c r="E169" s="26" t="s">
        <v>174</v>
      </c>
      <c r="F169" s="21" t="str">
        <f>HYPERLINK("http://www.education.pa.gov/Documents/About%20PDE/Press/PDE%20HB%20218%20Letter%20to%20Ed%20Chairmen.pdf","Source")</f>
        <v>Source</v>
      </c>
      <c r="G169" s="1"/>
      <c r="H169" s="8" t="s">
        <v>81</v>
      </c>
      <c r="I169" s="3">
        <v>1</v>
      </c>
      <c r="J169" s="3"/>
      <c r="K169" s="3"/>
      <c r="L169" s="3"/>
      <c r="M169" s="3"/>
      <c r="N169" s="3"/>
      <c r="O169" s="3"/>
      <c r="P169" s="3"/>
      <c r="Q169" s="3"/>
      <c r="R169" s="3"/>
      <c r="S169" s="3"/>
      <c r="T169" s="3"/>
      <c r="U169" s="3"/>
      <c r="V169" s="3"/>
      <c r="W169" s="3"/>
      <c r="X169" s="3"/>
      <c r="Y169" s="3"/>
      <c r="Z169" s="5"/>
      <c r="AA169" s="5"/>
      <c r="AB169" s="5"/>
      <c r="AC169" s="5"/>
      <c r="AD169" s="5"/>
      <c r="AE169" s="5"/>
      <c r="AF169" s="5"/>
    </row>
    <row r="170" spans="1:32" ht="24" x14ac:dyDescent="0.2">
      <c r="A170" s="29" t="s">
        <v>37</v>
      </c>
      <c r="B170" s="26" t="s">
        <v>114</v>
      </c>
      <c r="C170" s="26"/>
      <c r="D170" s="28" t="str">
        <f>HYPERLINK("https://www2.ed.gov/admins/lead/account/stateplan17/paconsolidatedstateplan.pdf","PA's ESSA plan")</f>
        <v>PA's ESSA plan</v>
      </c>
      <c r="E170" s="26" t="s">
        <v>173</v>
      </c>
      <c r="F170" s="1"/>
      <c r="G170" s="1" t="s">
        <v>86</v>
      </c>
      <c r="H170" s="8" t="s">
        <v>73</v>
      </c>
      <c r="I170" s="3"/>
      <c r="J170" s="3"/>
      <c r="K170" s="3"/>
      <c r="L170" s="3"/>
      <c r="M170" s="3"/>
      <c r="N170" s="3">
        <v>1</v>
      </c>
      <c r="O170" s="3"/>
      <c r="P170" s="3"/>
      <c r="Q170" s="3"/>
      <c r="R170" s="3"/>
      <c r="S170" s="3">
        <v>1</v>
      </c>
      <c r="T170" s="3"/>
      <c r="U170" s="3"/>
      <c r="V170" s="3"/>
      <c r="W170" s="3"/>
      <c r="X170" s="3"/>
      <c r="Y170" s="3"/>
      <c r="Z170" s="3"/>
      <c r="AA170" s="3"/>
      <c r="AB170" s="3"/>
      <c r="AC170" s="3"/>
      <c r="AD170" s="3"/>
      <c r="AE170" s="3"/>
      <c r="AF170" s="3"/>
    </row>
    <row r="171" spans="1:32" ht="84" x14ac:dyDescent="0.2">
      <c r="A171" s="29" t="s">
        <v>37</v>
      </c>
      <c r="B171" s="26" t="s">
        <v>96</v>
      </c>
      <c r="C171" s="31">
        <v>43068</v>
      </c>
      <c r="D171" s="28" t="str">
        <f>HYPERLINK("https://www.governor.pa.gov/pennsylvania-establishes-new-apprenticeship-program/","Apprenticeship/ Pre-apprenticeship Grants")</f>
        <v>Apprenticeship/ Pre-apprenticeship Grants</v>
      </c>
      <c r="E171" s="26" t="s">
        <v>317</v>
      </c>
      <c r="F171" s="21" t="str">
        <f>HYPERLINK("http://www.phillyvoice.com/pennsylvania-establishes-new-statewide-apprenticeship-program/","Source")</f>
        <v>Source</v>
      </c>
      <c r="G171" s="1"/>
      <c r="H171" s="8" t="s">
        <v>75</v>
      </c>
      <c r="I171" s="3">
        <v>1</v>
      </c>
      <c r="J171" s="3">
        <v>1</v>
      </c>
      <c r="K171" s="3"/>
      <c r="L171" s="3"/>
      <c r="M171" s="3"/>
      <c r="N171" s="3"/>
      <c r="O171" s="3"/>
      <c r="P171" s="3"/>
      <c r="Q171" s="3"/>
      <c r="R171" s="3"/>
      <c r="S171" s="3"/>
      <c r="T171" s="3"/>
      <c r="U171" s="3"/>
      <c r="V171" s="3"/>
      <c r="W171" s="3"/>
      <c r="X171" s="3"/>
      <c r="Y171" s="3"/>
      <c r="Z171" s="5"/>
      <c r="AA171" s="5"/>
      <c r="AB171" s="5"/>
      <c r="AC171" s="5"/>
      <c r="AD171" s="5"/>
      <c r="AE171" s="5"/>
      <c r="AF171" s="5"/>
    </row>
    <row r="172" spans="1:32" ht="48" x14ac:dyDescent="0.2">
      <c r="A172" s="29" t="s">
        <v>37</v>
      </c>
      <c r="B172" s="26" t="s">
        <v>96</v>
      </c>
      <c r="C172" s="26"/>
      <c r="D172" s="28" t="str">
        <f>HYPERLINK("https://www.governor.pa.gov/wolf-administration-team-pennsylvania-announce-career-readiness-mini-grants-64-school-districts/","Career Readiness mini-grants")</f>
        <v>Career Readiness mini-grants</v>
      </c>
      <c r="E172" s="26" t="s">
        <v>318</v>
      </c>
      <c r="F172" s="21" t="str">
        <f>HYPERLINK("http://www.wfmz.com/news/local-schools-awarded-career-readiness-grants-from-gov-wolf/627616033","Source")</f>
        <v>Source</v>
      </c>
      <c r="G172" s="1"/>
      <c r="H172" s="8" t="s">
        <v>73</v>
      </c>
      <c r="I172" s="3">
        <v>1</v>
      </c>
      <c r="J172" s="3">
        <v>1</v>
      </c>
      <c r="K172" s="3"/>
      <c r="L172" s="3"/>
      <c r="M172" s="3"/>
      <c r="N172" s="3"/>
      <c r="O172" s="3"/>
      <c r="P172" s="3"/>
      <c r="Q172" s="3"/>
      <c r="R172" s="3"/>
      <c r="S172" s="3"/>
      <c r="T172" s="3"/>
      <c r="U172" s="3"/>
      <c r="V172" s="3"/>
      <c r="W172" s="3"/>
      <c r="X172" s="3"/>
      <c r="Y172" s="3"/>
      <c r="Z172" s="5"/>
      <c r="AA172" s="5"/>
      <c r="AB172" s="5"/>
      <c r="AC172" s="5"/>
      <c r="AD172" s="5"/>
      <c r="AE172" s="5"/>
      <c r="AF172" s="5"/>
    </row>
    <row r="173" spans="1:32" ht="36" x14ac:dyDescent="0.2">
      <c r="A173" s="29" t="s">
        <v>37</v>
      </c>
      <c r="B173" s="26" t="s">
        <v>72</v>
      </c>
      <c r="C173" s="27">
        <v>42907</v>
      </c>
      <c r="D173" s="28" t="str">
        <f>HYPERLINK("http://www.legis.state.pa.us/cfdocs/billInfo/billInfo.cfm?sYear=2017&amp;sInd=0&amp;body=H&amp;type=B&amp;bn=0202","HB202")</f>
        <v>HB202</v>
      </c>
      <c r="E173" s="26" t="s">
        <v>172</v>
      </c>
      <c r="F173" s="21" t="str">
        <f>HYPERLINK("http://triblive.com/local/allegheny/12403157-74/wolf-signs-law-granting-career-track-students-alternatives-to-keystone-exit-exams","Source")</f>
        <v>Source</v>
      </c>
      <c r="G173" s="1"/>
      <c r="H173" s="8" t="s">
        <v>73</v>
      </c>
      <c r="I173" s="3"/>
      <c r="J173" s="3"/>
      <c r="K173" s="3"/>
      <c r="L173" s="3">
        <v>1</v>
      </c>
      <c r="M173" s="3">
        <v>1</v>
      </c>
      <c r="N173" s="3"/>
      <c r="O173" s="3"/>
      <c r="P173" s="3"/>
      <c r="Q173" s="3">
        <v>1</v>
      </c>
      <c r="R173" s="3"/>
      <c r="S173" s="3"/>
      <c r="T173" s="3"/>
      <c r="U173" s="3"/>
      <c r="V173" s="3">
        <v>1</v>
      </c>
      <c r="W173" s="3"/>
      <c r="X173" s="3"/>
      <c r="Y173" s="3"/>
      <c r="Z173" s="3"/>
      <c r="AA173" s="3"/>
      <c r="AB173" s="3"/>
      <c r="AC173" s="3"/>
      <c r="AD173" s="3"/>
      <c r="AE173" s="3"/>
      <c r="AF173" s="3"/>
    </row>
    <row r="174" spans="1:32" ht="12.75" x14ac:dyDescent="0.2">
      <c r="A174" s="29" t="s">
        <v>320</v>
      </c>
      <c r="B174" s="29" t="s">
        <v>321</v>
      </c>
      <c r="C174" s="29" t="s">
        <v>321</v>
      </c>
      <c r="D174" s="29" t="s">
        <v>321</v>
      </c>
      <c r="E174" s="29" t="s">
        <v>322</v>
      </c>
      <c r="F174" s="19"/>
      <c r="G174" s="19"/>
      <c r="H174" s="8"/>
      <c r="I174" s="13"/>
      <c r="J174" s="13"/>
      <c r="K174" s="13"/>
      <c r="L174" s="13"/>
      <c r="M174" s="13"/>
      <c r="N174" s="13"/>
      <c r="O174" s="13"/>
      <c r="P174" s="13"/>
      <c r="Q174" s="13"/>
      <c r="R174" s="13"/>
      <c r="S174" s="13"/>
      <c r="T174" s="13"/>
      <c r="U174" s="13"/>
      <c r="V174" s="13"/>
      <c r="W174" s="13"/>
      <c r="X174" s="13"/>
      <c r="Y174" s="13"/>
      <c r="Z174" s="3"/>
      <c r="AA174" s="3"/>
      <c r="AB174" s="3"/>
      <c r="AC174" s="3"/>
      <c r="AD174" s="3"/>
      <c r="AE174" s="3"/>
      <c r="AF174" s="3"/>
    </row>
    <row r="175" spans="1:32" ht="48" x14ac:dyDescent="0.2">
      <c r="A175" s="29" t="s">
        <v>38</v>
      </c>
      <c r="B175" s="26" t="s">
        <v>74</v>
      </c>
      <c r="C175" s="26"/>
      <c r="D175" s="28" t="str">
        <f>HYPERLINK("http://webserver.rilin.state.ri.us/BillText/BillText17/HouseText17/H5175Aaa.pdf","Budget")</f>
        <v>Budget</v>
      </c>
      <c r="E175" s="26" t="s">
        <v>175</v>
      </c>
      <c r="F175" s="21" t="str">
        <f>HYPERLINK("https://www.governorsforcs.org/state-profiles","Source")</f>
        <v>Source</v>
      </c>
      <c r="G175" s="1"/>
      <c r="H175" s="8" t="s">
        <v>81</v>
      </c>
      <c r="I175" s="3">
        <v>1</v>
      </c>
      <c r="J175" s="3"/>
      <c r="K175" s="3">
        <v>1</v>
      </c>
      <c r="L175" s="3"/>
      <c r="M175" s="3"/>
      <c r="N175" s="3"/>
      <c r="O175" s="3"/>
      <c r="P175" s="3"/>
      <c r="Q175" s="3"/>
      <c r="R175" s="3"/>
      <c r="S175" s="3"/>
      <c r="T175" s="3"/>
      <c r="U175" s="3"/>
      <c r="V175" s="3"/>
      <c r="W175" s="3"/>
      <c r="X175" s="3"/>
      <c r="Y175" s="3"/>
      <c r="Z175" s="3"/>
      <c r="AA175" s="3"/>
      <c r="AB175" s="3"/>
      <c r="AC175" s="3"/>
      <c r="AD175" s="3"/>
      <c r="AE175" s="3"/>
      <c r="AF175" s="3"/>
    </row>
    <row r="176" spans="1:32" ht="24" x14ac:dyDescent="0.2">
      <c r="A176" s="29" t="s">
        <v>38</v>
      </c>
      <c r="B176" s="26" t="s">
        <v>114</v>
      </c>
      <c r="C176" s="26"/>
      <c r="D176" s="28" t="str">
        <f>HYPERLINK("http://www.ride.ri.gov/Portals/0/Uploads/Documents/Information-and-Accountability-User-Friendly-Data/ESSA/RhodeIsland-ESSA-State-Plan-Sept2017-FINAL-9-18.pdf","RI's state plan")</f>
        <v>RI's state plan</v>
      </c>
      <c r="E176" s="26" t="s">
        <v>176</v>
      </c>
      <c r="F176" s="1"/>
      <c r="G176" s="1" t="s">
        <v>86</v>
      </c>
      <c r="H176" s="8" t="s">
        <v>73</v>
      </c>
      <c r="I176" s="3"/>
      <c r="J176" s="3"/>
      <c r="K176" s="3">
        <v>1</v>
      </c>
      <c r="L176" s="3">
        <v>1</v>
      </c>
      <c r="M176" s="3"/>
      <c r="N176" s="3">
        <v>1</v>
      </c>
      <c r="O176" s="3"/>
      <c r="P176" s="3"/>
      <c r="Q176" s="3"/>
      <c r="R176" s="3"/>
      <c r="S176" s="3"/>
      <c r="T176" s="3"/>
      <c r="U176" s="3"/>
      <c r="V176" s="3"/>
      <c r="W176" s="3"/>
      <c r="X176" s="3"/>
      <c r="Y176" s="3"/>
      <c r="Z176" s="3"/>
      <c r="AA176" s="3"/>
      <c r="AB176" s="3"/>
      <c r="AC176" s="3"/>
      <c r="AD176" s="3"/>
      <c r="AE176" s="3"/>
      <c r="AF176" s="3"/>
    </row>
    <row r="177" spans="1:32" ht="24" x14ac:dyDescent="0.2">
      <c r="A177" s="29" t="s">
        <v>39</v>
      </c>
      <c r="B177" s="26" t="s">
        <v>114</v>
      </c>
      <c r="C177" s="27"/>
      <c r="D177" s="28" t="str">
        <f>HYPERLINK("https://www2.ed.gov/admins/lead/account/stateplan17/scconsolidatedstateplan.pdf","SC's ESSA plan")</f>
        <v>SC's ESSA plan</v>
      </c>
      <c r="E177" s="26" t="s">
        <v>178</v>
      </c>
      <c r="F177" s="1"/>
      <c r="G177" s="1" t="s">
        <v>86</v>
      </c>
      <c r="H177" s="8" t="s">
        <v>73</v>
      </c>
      <c r="I177" s="3"/>
      <c r="J177" s="3">
        <v>1</v>
      </c>
      <c r="K177" s="3">
        <v>1</v>
      </c>
      <c r="L177" s="3">
        <v>1</v>
      </c>
      <c r="M177" s="3"/>
      <c r="N177" s="3">
        <v>1</v>
      </c>
      <c r="O177" s="3"/>
      <c r="P177" s="3"/>
      <c r="Q177" s="3"/>
      <c r="R177" s="3"/>
      <c r="S177" s="3"/>
      <c r="T177" s="3"/>
      <c r="U177" s="3"/>
      <c r="V177" s="3"/>
      <c r="W177" s="3"/>
      <c r="X177" s="3"/>
      <c r="Y177" s="3"/>
      <c r="Z177" s="3"/>
      <c r="AA177" s="3"/>
      <c r="AB177" s="3"/>
      <c r="AC177" s="3"/>
      <c r="AD177" s="3"/>
      <c r="AE177" s="3"/>
      <c r="AF177" s="3"/>
    </row>
    <row r="178" spans="1:32" ht="84" x14ac:dyDescent="0.2">
      <c r="A178" s="29" t="s">
        <v>39</v>
      </c>
      <c r="B178" s="26" t="s">
        <v>72</v>
      </c>
      <c r="C178" s="27">
        <v>42906</v>
      </c>
      <c r="D178" s="28" t="str">
        <f>HYPERLINK("http://www.scstatehouse.gov/billsearch.php?billnumbers=3969&amp;session=122&amp;summary=B","HB3969")</f>
        <v>HB3969</v>
      </c>
      <c r="E178" s="26" t="s">
        <v>177</v>
      </c>
      <c r="F178" s="21" t="str">
        <f>HYPERLINK("http://www.nationalskillscoalition.org/resources/publications/file/2017-Legislative-Roundup.pdf","Source")</f>
        <v>Source</v>
      </c>
      <c r="G178" s="1"/>
      <c r="H178" s="8" t="s">
        <v>75</v>
      </c>
      <c r="I178" s="3"/>
      <c r="J178" s="3"/>
      <c r="K178" s="3"/>
      <c r="L178" s="3"/>
      <c r="M178" s="3">
        <v>1</v>
      </c>
      <c r="N178" s="3">
        <v>1</v>
      </c>
      <c r="O178" s="3"/>
      <c r="P178" s="3"/>
      <c r="Q178" s="3">
        <v>1</v>
      </c>
      <c r="R178" s="3"/>
      <c r="S178" s="3"/>
      <c r="T178" s="3">
        <v>1</v>
      </c>
      <c r="U178" s="3"/>
      <c r="V178" s="3">
        <v>1</v>
      </c>
      <c r="W178" s="3"/>
      <c r="X178" s="3"/>
      <c r="Y178" s="3"/>
      <c r="Z178" s="3"/>
      <c r="AA178" s="3"/>
      <c r="AB178" s="3"/>
      <c r="AC178" s="3"/>
      <c r="AD178" s="3"/>
      <c r="AE178" s="3"/>
      <c r="AF178" s="3"/>
    </row>
    <row r="179" spans="1:32" ht="36" x14ac:dyDescent="0.2">
      <c r="A179" s="29" t="s">
        <v>40</v>
      </c>
      <c r="B179" s="26" t="s">
        <v>114</v>
      </c>
      <c r="C179" s="27">
        <v>42814</v>
      </c>
      <c r="D179" s="28" t="str">
        <f>HYPERLINK("http://doe.sd.gov/board/packets/documents/032017/item9doc1.pdf","Tuition Proposal")</f>
        <v>Tuition Proposal</v>
      </c>
      <c r="E179" s="26" t="s">
        <v>179</v>
      </c>
      <c r="F179" s="21" t="str">
        <f>HYPERLINK("http://www.argusleader.com/story/news/education/2017/03/20/regents-raise-tuition-sd-tech-schools/99413186/","Source")</f>
        <v>Source</v>
      </c>
      <c r="G179" s="1"/>
      <c r="H179" s="8" t="s">
        <v>76</v>
      </c>
      <c r="I179" s="3">
        <v>1</v>
      </c>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4" x14ac:dyDescent="0.2">
      <c r="A180" s="29" t="s">
        <v>40</v>
      </c>
      <c r="B180" s="26" t="s">
        <v>74</v>
      </c>
      <c r="C180" s="27"/>
      <c r="D180" s="30" t="str">
        <f>HYPERLINK("https://bfm.sd.gov/budget/BiB/SD_BIB_FY2018.pdf","Budget")</f>
        <v>Budget</v>
      </c>
      <c r="E180" s="29" t="s">
        <v>327</v>
      </c>
      <c r="F180" s="21" t="str">
        <f>HYPERLINK("http://rapidcityjournal.com/news/local/board-asks-for-m-increase-in-funding-for-tech-schools/article_0a1a6df3-bba1-50f7-ba3e-ec8159d36bd5.html","Source")</f>
        <v>Source</v>
      </c>
      <c r="G180" s="1"/>
      <c r="H180" s="8" t="s">
        <v>81</v>
      </c>
      <c r="I180" s="3">
        <v>1</v>
      </c>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4" x14ac:dyDescent="0.2">
      <c r="A181" s="29" t="s">
        <v>40</v>
      </c>
      <c r="B181" s="26" t="s">
        <v>114</v>
      </c>
      <c r="C181" s="27"/>
      <c r="D181" s="28" t="str">
        <f>HYPERLINK("http://doe.sd.gov/secretary/documents/0917-StatePlan.pdf","SD's ESSA plan")</f>
        <v>SD's ESSA plan</v>
      </c>
      <c r="E181" s="26" t="s">
        <v>180</v>
      </c>
      <c r="F181" s="1"/>
      <c r="G181" s="1" t="s">
        <v>86</v>
      </c>
      <c r="H181" s="8" t="s">
        <v>73</v>
      </c>
      <c r="I181" s="3"/>
      <c r="J181" s="3"/>
      <c r="K181" s="3">
        <v>1</v>
      </c>
      <c r="L181" s="3"/>
      <c r="M181" s="3"/>
      <c r="N181" s="3">
        <v>1</v>
      </c>
      <c r="O181" s="3"/>
      <c r="P181" s="3"/>
      <c r="Q181" s="3"/>
      <c r="R181" s="3"/>
      <c r="S181" s="3"/>
      <c r="T181" s="3"/>
      <c r="U181" s="3"/>
      <c r="V181" s="3"/>
      <c r="W181" s="3"/>
      <c r="X181" s="3"/>
      <c r="Y181" s="3"/>
      <c r="Z181" s="3"/>
      <c r="AA181" s="3"/>
      <c r="AB181" s="3"/>
      <c r="AC181" s="3"/>
      <c r="AD181" s="3"/>
      <c r="AE181" s="3"/>
      <c r="AF181" s="3"/>
    </row>
    <row r="182" spans="1:32" ht="72" x14ac:dyDescent="0.2">
      <c r="A182" s="29" t="s">
        <v>40</v>
      </c>
      <c r="B182" s="26" t="s">
        <v>72</v>
      </c>
      <c r="C182" s="27">
        <v>42789</v>
      </c>
      <c r="D182" s="28" t="str">
        <f>HYPERLINK("http://sdlegislature.gov/Legislative_Session/Bills/Bill.aspx?Bill=65&amp;Session=2017","SB65")</f>
        <v>SB65</v>
      </c>
      <c r="E182" s="26" t="s">
        <v>319</v>
      </c>
      <c r="F182" s="21" t="str">
        <f>HYPERLINK("http://www.ksfy.com/content/news/House-scheduled-to-vote-on-State-Board-of-Technical-Education-413646853.html","Source")</f>
        <v>Source</v>
      </c>
      <c r="G182" s="1"/>
      <c r="H182" s="8" t="s">
        <v>76</v>
      </c>
      <c r="I182" s="3"/>
      <c r="J182" s="3"/>
      <c r="K182" s="3"/>
      <c r="L182" s="3"/>
      <c r="M182" s="3"/>
      <c r="N182" s="3"/>
      <c r="O182" s="3"/>
      <c r="P182" s="3"/>
      <c r="Q182" s="3"/>
      <c r="R182" s="3"/>
      <c r="S182" s="3"/>
      <c r="T182" s="3">
        <v>1</v>
      </c>
      <c r="U182" s="3"/>
      <c r="V182" s="3"/>
      <c r="W182" s="3"/>
      <c r="X182" s="3"/>
      <c r="Y182" s="3"/>
      <c r="Z182" s="3"/>
      <c r="AA182" s="3"/>
      <c r="AB182" s="3"/>
      <c r="AC182" s="3"/>
      <c r="AD182" s="3"/>
      <c r="AE182" s="3"/>
      <c r="AF182" s="3"/>
    </row>
    <row r="183" spans="1:32" ht="72" x14ac:dyDescent="0.2">
      <c r="A183" s="29" t="s">
        <v>40</v>
      </c>
      <c r="B183" s="26" t="s">
        <v>114</v>
      </c>
      <c r="C183" s="27">
        <v>42870</v>
      </c>
      <c r="D183" s="28" t="str">
        <f>HYPERLINK("http://doe.sd.gov/octe/careerclusters.aspx","CTE Standards")</f>
        <v>CTE Standards</v>
      </c>
      <c r="E183" s="26" t="s">
        <v>242</v>
      </c>
      <c r="F183" s="21" t="str">
        <f>HYPERLINK("http://rapidcityjournal.com/board-holds-first-public-hearing-on-proposed-cte-standards/article_82092b80-c783-5aca-b4a1-5e2821b17be1.html","Source")</f>
        <v>Source</v>
      </c>
      <c r="G183" s="1"/>
      <c r="H183" s="8" t="s">
        <v>73</v>
      </c>
      <c r="I183" s="3"/>
      <c r="J183" s="3"/>
      <c r="K183" s="3"/>
      <c r="L183" s="3"/>
      <c r="M183" s="3"/>
      <c r="N183" s="3"/>
      <c r="O183" s="3"/>
      <c r="P183" s="3">
        <v>1</v>
      </c>
      <c r="Q183" s="3"/>
      <c r="R183" s="3"/>
      <c r="S183" s="3"/>
      <c r="T183" s="3"/>
      <c r="U183" s="3"/>
      <c r="V183" s="3"/>
      <c r="W183" s="3"/>
      <c r="X183" s="3"/>
      <c r="Y183" s="3"/>
      <c r="Z183" s="3"/>
      <c r="AA183" s="3"/>
      <c r="AB183" s="3"/>
      <c r="AC183" s="3"/>
      <c r="AD183" s="3"/>
      <c r="AE183" s="3"/>
      <c r="AF183" s="3"/>
    </row>
    <row r="184" spans="1:32" ht="60" x14ac:dyDescent="0.2">
      <c r="A184" s="29" t="s">
        <v>41</v>
      </c>
      <c r="B184" s="26" t="s">
        <v>114</v>
      </c>
      <c r="C184" s="27">
        <v>43083</v>
      </c>
      <c r="D184" s="32" t="str">
        <f>HYPERLINK("https://policies.tbr.edu/policies/warranty-competency-graduates-technical-programs","2:03:01:10")</f>
        <v>2:03:01:10</v>
      </c>
      <c r="E184" s="29" t="s">
        <v>328</v>
      </c>
      <c r="F184" s="9" t="str">
        <f>HYPERLINK("http://www.knoxnews.com/story/news/education/2017/12/14/tbr-approves-warranty-policy-technical-colleges/951269001/","Source")</f>
        <v>Source</v>
      </c>
      <c r="G184" s="5"/>
      <c r="H184" s="8" t="s">
        <v>76</v>
      </c>
      <c r="I184" s="5"/>
      <c r="J184" s="5"/>
      <c r="K184" s="5"/>
      <c r="L184" s="6"/>
      <c r="M184" s="5"/>
      <c r="N184" s="5"/>
      <c r="O184" s="5"/>
      <c r="P184" s="5"/>
      <c r="Q184" s="5"/>
      <c r="R184" s="5"/>
      <c r="S184" s="5"/>
      <c r="T184" s="5"/>
      <c r="U184" s="5"/>
      <c r="V184" s="5"/>
      <c r="W184" s="5"/>
      <c r="X184" s="5"/>
      <c r="Y184" s="5"/>
      <c r="Z184" s="3"/>
      <c r="AA184" s="3"/>
      <c r="AB184" s="3"/>
      <c r="AC184" s="3"/>
      <c r="AD184" s="3"/>
      <c r="AE184" s="3"/>
      <c r="AF184" s="3"/>
    </row>
    <row r="185" spans="1:32" ht="84" x14ac:dyDescent="0.2">
      <c r="A185" s="29" t="s">
        <v>41</v>
      </c>
      <c r="B185" s="26" t="s">
        <v>74</v>
      </c>
      <c r="C185" s="27">
        <v>42879</v>
      </c>
      <c r="D185" s="32" t="str">
        <f>HYPERLINK("http://wapp.capitol.tn.gov/apps/BillInfo/default.aspx?BillNumber=HB0531&amp;GA=110","HB0531 (Reconnect Grant)")</f>
        <v>HB0531 (Reconnect Grant)</v>
      </c>
      <c r="E185" s="29" t="s">
        <v>329</v>
      </c>
      <c r="F185" s="9" t="str">
        <f>HYPERLINK("http://www.tennessean.com/story/news/education/2017/02/03/new-free-tuition-plan-spurs-another-shift-tennessee-colleges/97300278/","Source")</f>
        <v>Source</v>
      </c>
      <c r="G185" s="5"/>
      <c r="H185" s="8" t="s">
        <v>123</v>
      </c>
      <c r="I185" s="5">
        <v>1</v>
      </c>
      <c r="J185" s="5"/>
      <c r="K185" s="5"/>
      <c r="L185" s="6"/>
      <c r="M185" s="5"/>
      <c r="N185" s="5"/>
      <c r="O185" s="5"/>
      <c r="P185" s="5"/>
      <c r="Q185" s="5"/>
      <c r="R185" s="5"/>
      <c r="S185" s="5"/>
      <c r="T185" s="5"/>
      <c r="U185" s="5"/>
      <c r="V185" s="5"/>
      <c r="W185" s="5"/>
      <c r="X185" s="5"/>
      <c r="Y185" s="5">
        <v>1</v>
      </c>
      <c r="Z185" s="5"/>
      <c r="AA185" s="5"/>
      <c r="AB185" s="5"/>
      <c r="AC185" s="5"/>
      <c r="AD185" s="5"/>
      <c r="AE185" s="5"/>
      <c r="AF185" s="5"/>
    </row>
    <row r="186" spans="1:32" ht="60" x14ac:dyDescent="0.2">
      <c r="A186" s="29" t="s">
        <v>41</v>
      </c>
      <c r="B186" s="26" t="s">
        <v>74</v>
      </c>
      <c r="C186" s="27">
        <v>42880</v>
      </c>
      <c r="D186" s="32" t="str">
        <f>HYPERLINK("http://wapp.capitol.tn.gov/apps/Billinfo/default.aspx?BillNumber=HB0511&amp;ga=110","HB511")</f>
        <v>HB511</v>
      </c>
      <c r="E186" s="26" t="s">
        <v>184</v>
      </c>
      <c r="F186" s="9" t="str">
        <f>HYPERLINK("http://www.chalkbeat.org/posts/tn/2017/01/30/haslam-proposes-5-percent-boost-for-k-12-education-in-tennessee/","Source")</f>
        <v>Source</v>
      </c>
      <c r="G186" s="5"/>
      <c r="H186" s="8" t="s">
        <v>81</v>
      </c>
      <c r="I186" s="5">
        <v>1</v>
      </c>
      <c r="J186" s="5"/>
      <c r="K186" s="5"/>
      <c r="L186" s="6"/>
      <c r="M186" s="5"/>
      <c r="N186" s="5"/>
      <c r="O186" s="5"/>
      <c r="P186" s="5"/>
      <c r="Q186" s="5"/>
      <c r="R186" s="5"/>
      <c r="S186" s="5"/>
      <c r="T186" s="5"/>
      <c r="U186" s="5"/>
      <c r="V186" s="5"/>
      <c r="W186" s="5"/>
      <c r="X186" s="5"/>
      <c r="Y186" s="5"/>
      <c r="Z186" s="3"/>
      <c r="AA186" s="3"/>
      <c r="AB186" s="3"/>
      <c r="AC186" s="3"/>
      <c r="AD186" s="3"/>
      <c r="AE186" s="3"/>
      <c r="AF186" s="3"/>
    </row>
    <row r="187" spans="1:32" ht="24" x14ac:dyDescent="0.2">
      <c r="A187" s="29" t="s">
        <v>41</v>
      </c>
      <c r="B187" s="26" t="s">
        <v>114</v>
      </c>
      <c r="C187" s="27"/>
      <c r="D187" s="32" t="str">
        <f>HYPERLINK("http://www.tennessee.gov/assets/entities/education/attachments/ESSA_state_plan.pdf","TN's ESSA Plan")</f>
        <v>TN's ESSA Plan</v>
      </c>
      <c r="E187" s="26" t="s">
        <v>181</v>
      </c>
      <c r="F187" s="5"/>
      <c r="G187" s="5" t="s">
        <v>86</v>
      </c>
      <c r="H187" s="8" t="s">
        <v>73</v>
      </c>
      <c r="I187" s="5"/>
      <c r="J187" s="5"/>
      <c r="K187" s="5">
        <v>1</v>
      </c>
      <c r="L187" s="10">
        <v>1</v>
      </c>
      <c r="M187" s="5"/>
      <c r="N187" s="5">
        <v>1</v>
      </c>
      <c r="O187" s="5"/>
      <c r="P187" s="5"/>
      <c r="Q187" s="5"/>
      <c r="R187" s="5"/>
      <c r="S187" s="5"/>
      <c r="T187" s="5"/>
      <c r="U187" s="5"/>
      <c r="V187" s="5"/>
      <c r="W187" s="5"/>
      <c r="X187" s="5"/>
      <c r="Y187" s="5"/>
      <c r="Z187" s="5"/>
      <c r="AA187" s="5"/>
      <c r="AB187" s="5"/>
      <c r="AC187" s="5"/>
      <c r="AD187" s="5"/>
      <c r="AE187" s="5"/>
      <c r="AF187" s="5"/>
    </row>
    <row r="188" spans="1:32" ht="72" x14ac:dyDescent="0.2">
      <c r="A188" s="29" t="s">
        <v>41</v>
      </c>
      <c r="B188" s="26" t="s">
        <v>72</v>
      </c>
      <c r="C188" s="27">
        <v>42859</v>
      </c>
      <c r="D188" s="28" t="str">
        <f>HYPERLINK("http://wapp.capitol.tn.gov/apps/Billinfo/default.aspx?BillNumber=SB1231&amp;ga=110","SB1231")</f>
        <v>SB1231</v>
      </c>
      <c r="E188" s="26" t="s">
        <v>381</v>
      </c>
      <c r="F188" s="21" t="str">
        <f>HYPERLINK("http://www.nationalskillscoalition.org/resources/publications/file/2017-Legislative-Roundup.pdf","Source")</f>
        <v>Source</v>
      </c>
      <c r="G188" s="1"/>
      <c r="H188" s="8" t="s">
        <v>76</v>
      </c>
      <c r="I188" s="3"/>
      <c r="J188" s="3">
        <v>1</v>
      </c>
      <c r="K188" s="3"/>
      <c r="L188" s="3"/>
      <c r="M188" s="3"/>
      <c r="N188" s="3"/>
      <c r="O188" s="3"/>
      <c r="P188" s="3"/>
      <c r="Q188" s="3"/>
      <c r="R188" s="3"/>
      <c r="S188" s="3"/>
      <c r="T188" s="3"/>
      <c r="U188" s="3"/>
      <c r="V188" s="3"/>
      <c r="W188" s="3"/>
      <c r="X188" s="3"/>
      <c r="Y188" s="3"/>
      <c r="Z188" s="3"/>
      <c r="AA188" s="3"/>
      <c r="AB188" s="3"/>
      <c r="AC188" s="3"/>
      <c r="AD188" s="3"/>
      <c r="AE188" s="3"/>
      <c r="AF188" s="3"/>
    </row>
    <row r="189" spans="1:32" ht="36" x14ac:dyDescent="0.2">
      <c r="A189" s="29" t="s">
        <v>41</v>
      </c>
      <c r="B189" s="26" t="s">
        <v>72</v>
      </c>
      <c r="C189" s="27">
        <v>42852</v>
      </c>
      <c r="D189" s="30" t="str">
        <f>HYPERLINK("http://wapp.capitol.tn.gov/apps/BillInfo/Default.aspx?BillNumber=HB1161&amp;GA=110","HB1161")</f>
        <v>HB1161</v>
      </c>
      <c r="E189" s="26" t="s">
        <v>183</v>
      </c>
      <c r="F189" s="1"/>
      <c r="G189" s="1"/>
      <c r="H189" s="8" t="s">
        <v>73</v>
      </c>
      <c r="I189" s="3"/>
      <c r="J189" s="3"/>
      <c r="K189" s="3"/>
      <c r="L189" s="3">
        <v>1</v>
      </c>
      <c r="M189" s="3">
        <v>1</v>
      </c>
      <c r="N189" s="3"/>
      <c r="O189" s="3"/>
      <c r="P189" s="3"/>
      <c r="Q189" s="3"/>
      <c r="R189" s="3"/>
      <c r="S189" s="3"/>
      <c r="T189" s="3"/>
      <c r="U189" s="3"/>
      <c r="V189" s="3"/>
      <c r="W189" s="3"/>
      <c r="X189" s="3"/>
      <c r="Y189" s="3"/>
      <c r="Z189" s="3"/>
      <c r="AA189" s="3"/>
      <c r="AB189" s="3"/>
      <c r="AC189" s="3"/>
      <c r="AD189" s="3"/>
      <c r="AE189" s="3"/>
      <c r="AF189" s="3"/>
    </row>
    <row r="190" spans="1:32" ht="24" x14ac:dyDescent="0.2">
      <c r="A190" s="29" t="s">
        <v>41</v>
      </c>
      <c r="B190" s="26" t="s">
        <v>72</v>
      </c>
      <c r="C190" s="27">
        <v>42864</v>
      </c>
      <c r="D190" s="32" t="str">
        <f>HYPERLINK("http://wapp.capitol.tn.gov/apps/BillInfo/Default.aspx?BillNumber=SB0102&amp;GA=110","SB102")</f>
        <v>SB102</v>
      </c>
      <c r="E190" s="26" t="s">
        <v>185</v>
      </c>
      <c r="F190" s="9" t="str">
        <f>HYPERLINK("http://www.chalkbeat.org/tn/education-bill-tracker/","Source")</f>
        <v>Source</v>
      </c>
      <c r="G190" s="5"/>
      <c r="H190" s="8" t="s">
        <v>81</v>
      </c>
      <c r="I190" s="5"/>
      <c r="J190" s="5"/>
      <c r="K190" s="5"/>
      <c r="L190" s="6"/>
      <c r="M190" s="5"/>
      <c r="N190" s="5"/>
      <c r="O190" s="5"/>
      <c r="P190" s="5"/>
      <c r="Q190" s="5"/>
      <c r="R190" s="5"/>
      <c r="S190" s="5"/>
      <c r="T190" s="5">
        <v>1</v>
      </c>
      <c r="U190" s="5"/>
      <c r="V190" s="5"/>
      <c r="W190" s="5"/>
      <c r="X190" s="5"/>
      <c r="Y190" s="5"/>
      <c r="Z190" s="5"/>
      <c r="AA190" s="5"/>
      <c r="AB190" s="5"/>
      <c r="AC190" s="5"/>
      <c r="AD190" s="5"/>
      <c r="AE190" s="5"/>
      <c r="AF190" s="5"/>
    </row>
    <row r="191" spans="1:32" ht="24" x14ac:dyDescent="0.2">
      <c r="A191" s="29" t="s">
        <v>41</v>
      </c>
      <c r="B191" s="26" t="s">
        <v>72</v>
      </c>
      <c r="C191" s="27">
        <v>42873</v>
      </c>
      <c r="D191" s="32" t="str">
        <f>HYPERLINK("http://wapp.capitol.tn.gov/apps/BillInfo/Default.aspx?BillNumber=SB1418&amp;GA=110","SB1418")</f>
        <v>SB1418</v>
      </c>
      <c r="E191" s="26" t="s">
        <v>186</v>
      </c>
      <c r="F191" s="9" t="str">
        <f>HYPERLINK("http://www.chalkbeat.org/tn/education-bill-tracker/","Source")</f>
        <v>Source</v>
      </c>
      <c r="G191" s="5"/>
      <c r="H191" s="8" t="s">
        <v>81</v>
      </c>
      <c r="I191" s="5"/>
      <c r="J191" s="5"/>
      <c r="K191" s="5"/>
      <c r="L191" s="6"/>
      <c r="M191" s="5"/>
      <c r="N191" s="5"/>
      <c r="O191" s="5"/>
      <c r="P191" s="5"/>
      <c r="Q191" s="5"/>
      <c r="R191" s="5"/>
      <c r="S191" s="5"/>
      <c r="T191" s="5">
        <v>1</v>
      </c>
      <c r="U191" s="5"/>
      <c r="V191" s="5"/>
      <c r="W191" s="5"/>
      <c r="X191" s="5"/>
      <c r="Y191" s="5"/>
      <c r="Z191" s="5"/>
      <c r="AA191" s="5"/>
      <c r="AB191" s="5"/>
      <c r="AC191" s="5"/>
      <c r="AD191" s="5"/>
      <c r="AE191" s="5"/>
      <c r="AF191" s="5"/>
    </row>
    <row r="192" spans="1:32" ht="36" x14ac:dyDescent="0.2">
      <c r="A192" s="29" t="s">
        <v>41</v>
      </c>
      <c r="B192" s="26" t="s">
        <v>72</v>
      </c>
      <c r="C192" s="27">
        <v>42830</v>
      </c>
      <c r="D192" s="30" t="str">
        <f>HYPERLINK("http://wapp.capitol.tn.gov/apps/Billinfo/default.aspx?BillNumber=SJR0107&amp;ga=110","SJR107")</f>
        <v>SJR107</v>
      </c>
      <c r="E192" s="26" t="s">
        <v>182</v>
      </c>
      <c r="F192" s="1"/>
      <c r="G192" s="1" t="s">
        <v>86</v>
      </c>
      <c r="H192" s="8" t="s">
        <v>73</v>
      </c>
      <c r="I192" s="3"/>
      <c r="J192" s="3"/>
      <c r="K192" s="3"/>
      <c r="L192" s="3"/>
      <c r="M192" s="3"/>
      <c r="N192" s="3">
        <v>1</v>
      </c>
      <c r="O192" s="3"/>
      <c r="P192" s="3"/>
      <c r="Q192" s="3"/>
      <c r="R192" s="3"/>
      <c r="S192" s="3"/>
      <c r="T192" s="3"/>
      <c r="U192" s="3"/>
      <c r="V192" s="3"/>
      <c r="W192" s="3"/>
      <c r="X192" s="3"/>
      <c r="Y192" s="3"/>
      <c r="Z192" s="3"/>
      <c r="AA192" s="3"/>
      <c r="AB192" s="3"/>
      <c r="AC192" s="3"/>
      <c r="AD192" s="3"/>
      <c r="AE192" s="3"/>
      <c r="AF192" s="3"/>
    </row>
    <row r="193" spans="1:32" ht="60" x14ac:dyDescent="0.2">
      <c r="A193" s="29" t="s">
        <v>42</v>
      </c>
      <c r="B193" s="26" t="s">
        <v>74</v>
      </c>
      <c r="C193" s="27"/>
      <c r="D193" s="30" t="str">
        <f>HYPERLINK("http://www.lbb.state.tx.us/Documents/Appropriations_Bills/85/Conference_Bills/SB1_Conference_Bill.pdf","Budget")</f>
        <v>Budget</v>
      </c>
      <c r="E193" s="26" t="s">
        <v>190</v>
      </c>
      <c r="F193" s="21" t="str">
        <f>HYPERLINK("http://www.mystatesman.com/news/state--regional-govt--politics/colleges-universities-breathing-easier-after-nail-biting-session/rcQumchR4f0x4GSG72CkCN/?ecmp=statesman_social_twitter_2014_virtualcapitol_sfp","Source")</f>
        <v>Source</v>
      </c>
      <c r="G193" s="1" t="s">
        <v>252</v>
      </c>
      <c r="H193" s="8" t="s">
        <v>76</v>
      </c>
      <c r="I193" s="3">
        <v>1</v>
      </c>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60" x14ac:dyDescent="0.2">
      <c r="A194" s="29" t="s">
        <v>42</v>
      </c>
      <c r="B194" s="26" t="s">
        <v>72</v>
      </c>
      <c r="C194" s="27">
        <v>42878</v>
      </c>
      <c r="D194" s="30" t="str">
        <f>HYPERLINK("http://www.legis.state.tx.us/BillLookup/History.aspx?LegSess=85R&amp;Bill=SB276","SB276")</f>
        <v>SB276</v>
      </c>
      <c r="E194" s="26" t="s">
        <v>187</v>
      </c>
      <c r="F194" s="21" t="str">
        <f>HYPERLINK("http://www.nationalskillscoalition.org/resources/publications/file/2017-Legislative-Roundup.pdf","Source")</f>
        <v>Source</v>
      </c>
      <c r="G194" s="1"/>
      <c r="H194" s="8" t="s">
        <v>77</v>
      </c>
      <c r="I194" s="3"/>
      <c r="J194" s="3"/>
      <c r="K194" s="3"/>
      <c r="L194" s="3">
        <v>1</v>
      </c>
      <c r="M194" s="3"/>
      <c r="N194" s="3">
        <v>1</v>
      </c>
      <c r="O194" s="3"/>
      <c r="P194" s="3"/>
      <c r="Q194" s="3"/>
      <c r="R194" s="3"/>
      <c r="S194" s="3"/>
      <c r="T194" s="3"/>
      <c r="U194" s="3"/>
      <c r="V194" s="3"/>
      <c r="W194" s="3"/>
      <c r="X194" s="3"/>
      <c r="Y194" s="3">
        <v>1</v>
      </c>
      <c r="Z194" s="3"/>
      <c r="AA194" s="3"/>
      <c r="AB194" s="3"/>
      <c r="AC194" s="3"/>
      <c r="AD194" s="3"/>
      <c r="AE194" s="3"/>
      <c r="AF194" s="3"/>
    </row>
    <row r="195" spans="1:32" ht="36" x14ac:dyDescent="0.2">
      <c r="A195" s="29" t="s">
        <v>42</v>
      </c>
      <c r="B195" s="26" t="s">
        <v>72</v>
      </c>
      <c r="C195" s="27">
        <v>42875</v>
      </c>
      <c r="D195" s="32" t="str">
        <f>HYPERLINK("http://www.capitol.state.tx.us/BillLookup/History.aspx?LegSess=85R&amp;Bill=SB2118","SB2118")</f>
        <v>SB2118</v>
      </c>
      <c r="E195" s="26" t="s">
        <v>188</v>
      </c>
      <c r="F195" s="9" t="str">
        <f>HYPERLINK("http://www.houstonchronicle.com/news/houston-texas/houston/article/Ed-bill-broadens-access-to-a-bachelor-s-11151402.php","Source")</f>
        <v>Source</v>
      </c>
      <c r="G195" s="5"/>
      <c r="H195" s="8" t="s">
        <v>76</v>
      </c>
      <c r="I195" s="5"/>
      <c r="J195" s="5"/>
      <c r="K195" s="5"/>
      <c r="L195" s="6"/>
      <c r="M195" s="5"/>
      <c r="N195" s="5"/>
      <c r="O195" s="5"/>
      <c r="P195" s="5"/>
      <c r="Q195" s="5"/>
      <c r="R195" s="5"/>
      <c r="S195" s="5"/>
      <c r="T195" s="5"/>
      <c r="U195" s="5"/>
      <c r="V195" s="5"/>
      <c r="W195" s="5"/>
      <c r="X195" s="5">
        <v>1</v>
      </c>
      <c r="Y195" s="5"/>
      <c r="Z195" s="3"/>
      <c r="AA195" s="3"/>
      <c r="AB195" s="3"/>
      <c r="AC195" s="3"/>
      <c r="AD195" s="3"/>
      <c r="AE195" s="3"/>
      <c r="AF195" s="3"/>
    </row>
    <row r="196" spans="1:32" ht="48" x14ac:dyDescent="0.2">
      <c r="A196" s="29" t="s">
        <v>42</v>
      </c>
      <c r="B196" s="26" t="s">
        <v>72</v>
      </c>
      <c r="C196" s="27">
        <v>42887</v>
      </c>
      <c r="D196" s="28" t="str">
        <f>HYPERLINK("http://www.legis.state.tx.us/BillLookup/History.aspx?LegSess=85R&amp;Bill=HB2431","HB2431")</f>
        <v>HB2431</v>
      </c>
      <c r="E196" s="26" t="s">
        <v>189</v>
      </c>
      <c r="F196" s="1"/>
      <c r="G196" s="1"/>
      <c r="H196" s="8" t="s">
        <v>76</v>
      </c>
      <c r="I196" s="3">
        <v>1</v>
      </c>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48" x14ac:dyDescent="0.2">
      <c r="A197" s="29" t="s">
        <v>42</v>
      </c>
      <c r="B197" s="26" t="s">
        <v>72</v>
      </c>
      <c r="C197" s="27"/>
      <c r="D197" s="30" t="str">
        <f>HYPERLINK("http://www.legis.state.tx.us/BillLookup/Text.aspx?LegSess=85R&amp;Bill=SB719","SB719")</f>
        <v>SB719</v>
      </c>
      <c r="E197" s="26" t="s">
        <v>191</v>
      </c>
      <c r="F197" s="21" t="str">
        <f>HYPERLINK("https://www.ecs.org/ec-content/uploads/Policy-Snapshot-Outcomes-Based-Funding.pdf","Source")</f>
        <v>Source</v>
      </c>
      <c r="G197" s="1"/>
      <c r="H197" s="8" t="s">
        <v>78</v>
      </c>
      <c r="I197" s="3"/>
      <c r="J197" s="3"/>
      <c r="K197" s="3"/>
      <c r="L197" s="3"/>
      <c r="M197" s="3"/>
      <c r="N197" s="3">
        <v>1</v>
      </c>
      <c r="O197" s="3"/>
      <c r="P197" s="3"/>
      <c r="Q197" s="3"/>
      <c r="R197" s="3"/>
      <c r="S197" s="3"/>
      <c r="T197" s="3"/>
      <c r="U197" s="3"/>
      <c r="V197" s="3"/>
      <c r="W197" s="3"/>
      <c r="X197" s="3"/>
      <c r="Y197" s="3">
        <v>1</v>
      </c>
      <c r="Z197" s="3"/>
      <c r="AA197" s="3"/>
      <c r="AB197" s="3"/>
      <c r="AC197" s="3"/>
      <c r="AD197" s="3"/>
      <c r="AE197" s="3"/>
      <c r="AF197" s="3"/>
    </row>
    <row r="198" spans="1:32" ht="36" x14ac:dyDescent="0.2">
      <c r="A198" s="29" t="s">
        <v>42</v>
      </c>
      <c r="B198" s="26" t="s">
        <v>72</v>
      </c>
      <c r="C198" s="27">
        <v>42881</v>
      </c>
      <c r="D198" s="30" t="str">
        <f>HYPERLINK("http://www.legis.state.tx.us/BillLookup/History.aspx?LegSess=85R&amp;Bill=HB728","HB728")</f>
        <v>HB728</v>
      </c>
      <c r="E198" s="26" t="s">
        <v>192</v>
      </c>
      <c r="F198" s="21" t="str">
        <f>HYPERLINK("http://www.themonitor.com/opinion/columnists/article_e88535a2-3cf8-11e7-923f-cbc445c3c542.html","Source")</f>
        <v>Source</v>
      </c>
      <c r="G198" s="1"/>
      <c r="H198" s="8" t="s">
        <v>73</v>
      </c>
      <c r="I198" s="3"/>
      <c r="J198" s="3"/>
      <c r="K198" s="3"/>
      <c r="L198" s="3"/>
      <c r="M198" s="3">
        <v>1</v>
      </c>
      <c r="N198" s="3"/>
      <c r="O198" s="3"/>
      <c r="P198" s="3">
        <v>1</v>
      </c>
      <c r="Q198" s="3"/>
      <c r="R198" s="3"/>
      <c r="S198" s="3"/>
      <c r="T198" s="3"/>
      <c r="U198" s="3"/>
      <c r="V198" s="3"/>
      <c r="W198" s="3"/>
      <c r="X198" s="3"/>
      <c r="Y198" s="3"/>
      <c r="Z198" s="3"/>
      <c r="AA198" s="3"/>
      <c r="AB198" s="3"/>
      <c r="AC198" s="3"/>
      <c r="AD198" s="3"/>
      <c r="AE198" s="3"/>
      <c r="AF198" s="3"/>
    </row>
    <row r="199" spans="1:32" ht="48" x14ac:dyDescent="0.2">
      <c r="A199" s="29" t="s">
        <v>42</v>
      </c>
      <c r="B199" s="26" t="s">
        <v>72</v>
      </c>
      <c r="C199" s="27">
        <v>42881</v>
      </c>
      <c r="D199" s="28" t="str">
        <f>HYPERLINK("http://www.legis.state.tx.us/BillLookup/History.aspx?LegSess=85R&amp;Bill=HB639","HB639")</f>
        <v>HB639</v>
      </c>
      <c r="E199" s="26" t="s">
        <v>193</v>
      </c>
      <c r="F199" s="1"/>
      <c r="G199" s="1"/>
      <c r="H199" s="8" t="s">
        <v>73</v>
      </c>
      <c r="I199" s="3"/>
      <c r="J199" s="3">
        <v>1</v>
      </c>
      <c r="K199" s="3"/>
      <c r="L199" s="3"/>
      <c r="M199" s="3"/>
      <c r="N199" s="3"/>
      <c r="O199" s="3"/>
      <c r="P199" s="3"/>
      <c r="Q199" s="3"/>
      <c r="R199" s="3"/>
      <c r="S199" s="3"/>
      <c r="T199" s="3"/>
      <c r="U199" s="3"/>
      <c r="V199" s="3"/>
      <c r="W199" s="3"/>
      <c r="X199" s="3"/>
      <c r="Y199" s="3"/>
      <c r="Z199" s="3"/>
      <c r="AA199" s="3"/>
      <c r="AB199" s="3"/>
      <c r="AC199" s="3"/>
      <c r="AD199" s="3"/>
      <c r="AE199" s="3"/>
      <c r="AF199" s="3"/>
    </row>
    <row r="200" spans="1:32" ht="108" x14ac:dyDescent="0.2">
      <c r="A200" s="29" t="s">
        <v>42</v>
      </c>
      <c r="B200" s="26" t="s">
        <v>72</v>
      </c>
      <c r="C200" s="27">
        <v>42885</v>
      </c>
      <c r="D200" s="28" t="str">
        <f>HYPERLINK("http://www.legis.state.tx.us/BillLookup/History.aspx?LegSess=85R&amp;Bill=HB22","HB22")</f>
        <v>HB22</v>
      </c>
      <c r="E200" s="29" t="s">
        <v>382</v>
      </c>
      <c r="F200" s="21" t="str">
        <f>HYPERLINK("https://www.texastribune.org/2017/05/28/senate-approves-last-minute-negotiated-overhaul-school-f-ratings/","Source")</f>
        <v>Source</v>
      </c>
      <c r="G200" s="1" t="s">
        <v>86</v>
      </c>
      <c r="H200" s="8" t="s">
        <v>73</v>
      </c>
      <c r="I200" s="3"/>
      <c r="J200" s="3"/>
      <c r="K200" s="3">
        <v>1</v>
      </c>
      <c r="L200" s="3">
        <v>1</v>
      </c>
      <c r="M200" s="3"/>
      <c r="N200" s="3">
        <v>1</v>
      </c>
      <c r="O200" s="3"/>
      <c r="P200" s="3"/>
      <c r="Q200" s="3"/>
      <c r="R200" s="3"/>
      <c r="S200" s="3"/>
      <c r="T200" s="3"/>
      <c r="U200" s="3"/>
      <c r="V200" s="3"/>
      <c r="W200" s="3">
        <v>1</v>
      </c>
      <c r="X200" s="3"/>
      <c r="Y200" s="3"/>
      <c r="Z200" s="3"/>
      <c r="AA200" s="3"/>
      <c r="AB200" s="3"/>
      <c r="AC200" s="3"/>
      <c r="AD200" s="3"/>
      <c r="AE200" s="3"/>
      <c r="AF200" s="3"/>
    </row>
    <row r="201" spans="1:32" ht="60" x14ac:dyDescent="0.2">
      <c r="A201" s="29" t="s">
        <v>42</v>
      </c>
      <c r="B201" s="26" t="s">
        <v>72</v>
      </c>
      <c r="C201" s="27">
        <v>42887</v>
      </c>
      <c r="D201" s="28" t="str">
        <f>HYPERLINK("http://www.legis.state.tx.us/BillLookup/History.aspx?LegSess=85R&amp;Bill=HB136","HB136")</f>
        <v>HB136</v>
      </c>
      <c r="E201" s="29" t="s">
        <v>330</v>
      </c>
      <c r="F201" s="1"/>
      <c r="G201" s="1"/>
      <c r="H201" s="8" t="s">
        <v>73</v>
      </c>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84" x14ac:dyDescent="0.2">
      <c r="A202" s="29" t="s">
        <v>42</v>
      </c>
      <c r="B202" s="26" t="s">
        <v>72</v>
      </c>
      <c r="C202" s="27">
        <v>42895</v>
      </c>
      <c r="D202" s="28" t="str">
        <f>HYPERLINK("http://www.legis.state.tx.us/BillLookup/History.aspx?LegSess=85R&amp;Bill=HB2729","HB2729")</f>
        <v>HB2729</v>
      </c>
      <c r="E202" s="26" t="s">
        <v>194</v>
      </c>
      <c r="F202" s="1"/>
      <c r="G202" s="1"/>
      <c r="H202" s="8" t="s">
        <v>73</v>
      </c>
      <c r="I202" s="3"/>
      <c r="J202" s="3"/>
      <c r="K202" s="3"/>
      <c r="L202" s="3">
        <v>1</v>
      </c>
      <c r="M202" s="3"/>
      <c r="N202" s="3">
        <v>1</v>
      </c>
      <c r="O202" s="3"/>
      <c r="P202" s="3"/>
      <c r="Q202" s="3"/>
      <c r="R202" s="3"/>
      <c r="S202" s="3"/>
      <c r="T202" s="3"/>
      <c r="U202" s="3"/>
      <c r="V202" s="3"/>
      <c r="W202" s="3"/>
      <c r="X202" s="3"/>
      <c r="Y202" s="3"/>
      <c r="Z202" s="3"/>
      <c r="AA202" s="3"/>
      <c r="AB202" s="3"/>
      <c r="AC202" s="3"/>
      <c r="AD202" s="3"/>
      <c r="AE202" s="3"/>
      <c r="AF202" s="3"/>
    </row>
    <row r="203" spans="1:32" ht="96" x14ac:dyDescent="0.2">
      <c r="A203" s="29" t="s">
        <v>42</v>
      </c>
      <c r="B203" s="26" t="s">
        <v>72</v>
      </c>
      <c r="C203" s="27">
        <v>42901</v>
      </c>
      <c r="D203" s="28" t="str">
        <f>HYPERLINK("http://www.legis.state.tx.us/BillLookup/History.aspx?LegSess=85R&amp;Bill=HB3593","HB3593")</f>
        <v>HB3593</v>
      </c>
      <c r="E203" s="26" t="s">
        <v>383</v>
      </c>
      <c r="F203" s="1"/>
      <c r="G203" s="1"/>
      <c r="H203" s="8" t="s">
        <v>73</v>
      </c>
      <c r="I203" s="3"/>
      <c r="J203" s="3">
        <v>1</v>
      </c>
      <c r="K203" s="3">
        <v>1</v>
      </c>
      <c r="L203" s="3"/>
      <c r="M203" s="3">
        <v>1</v>
      </c>
      <c r="N203" s="3">
        <v>1</v>
      </c>
      <c r="O203" s="3">
        <v>1</v>
      </c>
      <c r="P203" s="3"/>
      <c r="Q203" s="3"/>
      <c r="R203" s="3">
        <v>1</v>
      </c>
      <c r="S203" s="3"/>
      <c r="T203" s="3"/>
      <c r="U203" s="3"/>
      <c r="V203" s="3"/>
      <c r="W203" s="3"/>
      <c r="X203" s="3"/>
      <c r="Y203" s="3"/>
      <c r="Z203" s="3"/>
      <c r="AA203" s="3"/>
      <c r="AB203" s="3"/>
      <c r="AC203" s="3"/>
      <c r="AD203" s="3"/>
      <c r="AE203" s="3"/>
      <c r="AF203" s="3"/>
    </row>
    <row r="204" spans="1:32" ht="72" x14ac:dyDescent="0.2">
      <c r="A204" s="29" t="s">
        <v>42</v>
      </c>
      <c r="B204" s="26" t="s">
        <v>72</v>
      </c>
      <c r="C204" s="27">
        <v>42882</v>
      </c>
      <c r="D204" s="28" t="str">
        <f>HYPERLINK("http://www.legis.state.tx.us/BillLookup/History.aspx?LegSess=85R&amp;Bill=SB22","SB22")</f>
        <v>SB22</v>
      </c>
      <c r="E204" s="29" t="s">
        <v>331</v>
      </c>
      <c r="F204" s="21" t="str">
        <f>HYPERLINK("https://www.the74million.org/article/texas-next-stop-for-p-tech-popular-high-school-to-career-program-born-in-brooklyn","Source")</f>
        <v>Source</v>
      </c>
      <c r="G204" s="1"/>
      <c r="H204" s="8" t="s">
        <v>81</v>
      </c>
      <c r="I204" s="3">
        <v>1</v>
      </c>
      <c r="J204" s="3">
        <v>1</v>
      </c>
      <c r="K204" s="3">
        <v>1</v>
      </c>
      <c r="L204" s="3"/>
      <c r="M204" s="3"/>
      <c r="N204" s="3"/>
      <c r="O204" s="3"/>
      <c r="P204" s="3"/>
      <c r="Q204" s="3"/>
      <c r="R204" s="3"/>
      <c r="S204" s="3"/>
      <c r="T204" s="3"/>
      <c r="U204" s="3"/>
      <c r="V204" s="3"/>
      <c r="W204" s="3"/>
      <c r="X204" s="3"/>
      <c r="Y204" s="3"/>
      <c r="Z204" s="3"/>
      <c r="AA204" s="3"/>
      <c r="AB204" s="3"/>
      <c r="AC204" s="3"/>
      <c r="AD204" s="3"/>
      <c r="AE204" s="3"/>
      <c r="AF204" s="3"/>
    </row>
    <row r="205" spans="1:32" ht="60" x14ac:dyDescent="0.2">
      <c r="A205" s="29" t="s">
        <v>42</v>
      </c>
      <c r="B205" s="26" t="s">
        <v>72</v>
      </c>
      <c r="C205" s="27">
        <v>42878</v>
      </c>
      <c r="D205" s="28" t="str">
        <f>HYPERLINK("http://www.telicon.com/htbin/web_atlas.com?0563123TX85RHB01638____&amp;MCD=QS%20%20","HB1638")</f>
        <v>HB1638</v>
      </c>
      <c r="E205" s="29" t="s">
        <v>332</v>
      </c>
      <c r="F205" s="1"/>
      <c r="G205" s="1"/>
      <c r="H205" s="8" t="s">
        <v>81</v>
      </c>
      <c r="I205" s="3"/>
      <c r="J205" s="3"/>
      <c r="K205" s="3">
        <v>1</v>
      </c>
      <c r="L205" s="3"/>
      <c r="M205" s="3"/>
      <c r="N205" s="3"/>
      <c r="O205" s="3"/>
      <c r="P205" s="3"/>
      <c r="Q205" s="3"/>
      <c r="R205" s="3"/>
      <c r="S205" s="3"/>
      <c r="T205" s="3"/>
      <c r="U205" s="3"/>
      <c r="V205" s="3"/>
      <c r="W205" s="3"/>
      <c r="X205" s="3"/>
      <c r="Y205" s="3"/>
      <c r="Z205" s="3"/>
      <c r="AA205" s="3"/>
      <c r="AB205" s="3"/>
      <c r="AC205" s="3"/>
      <c r="AD205" s="3"/>
      <c r="AE205" s="3"/>
      <c r="AF205" s="3"/>
    </row>
    <row r="206" spans="1:32" ht="36" x14ac:dyDescent="0.2">
      <c r="A206" s="29" t="s">
        <v>42</v>
      </c>
      <c r="B206" s="26" t="s">
        <v>72</v>
      </c>
      <c r="C206" s="27">
        <v>42887</v>
      </c>
      <c r="D206" s="30" t="str">
        <f>HYPERLINK("http://www.legis.state.tx.us/BillLookup/History.aspx?LegSess=85R&amp;Bill=SB1220","SB1220")</f>
        <v>SB1220</v>
      </c>
      <c r="E206" s="26" t="s">
        <v>195</v>
      </c>
      <c r="F206" s="21" t="str">
        <f>HYPERLINK("http://www.nationalskillscoalition.org/resources/publications/file/2017-Legislative-Roundup.pdf","Source")</f>
        <v>Source</v>
      </c>
      <c r="G206" s="1"/>
      <c r="H206" s="8" t="s">
        <v>121</v>
      </c>
      <c r="I206" s="3"/>
      <c r="J206" s="3"/>
      <c r="K206" s="3"/>
      <c r="L206" s="3">
        <v>1</v>
      </c>
      <c r="M206" s="3"/>
      <c r="N206" s="3"/>
      <c r="O206" s="3"/>
      <c r="P206" s="3"/>
      <c r="Q206" s="3"/>
      <c r="R206" s="3"/>
      <c r="S206" s="3">
        <v>1</v>
      </c>
      <c r="T206" s="3"/>
      <c r="U206" s="3"/>
      <c r="V206" s="3"/>
      <c r="W206" s="3"/>
      <c r="X206" s="3"/>
      <c r="Y206" s="3">
        <v>1</v>
      </c>
      <c r="Z206" s="3"/>
      <c r="AA206" s="3"/>
      <c r="AB206" s="3"/>
      <c r="AC206" s="3"/>
      <c r="AD206" s="3"/>
      <c r="AE206" s="3"/>
      <c r="AF206" s="3"/>
    </row>
    <row r="207" spans="1:32" ht="72" x14ac:dyDescent="0.2">
      <c r="A207" s="29" t="s">
        <v>42</v>
      </c>
      <c r="B207" s="26" t="s">
        <v>72</v>
      </c>
      <c r="C207" s="27">
        <v>42874</v>
      </c>
      <c r="D207" s="28" t="str">
        <f>HYPERLINK("http://www.legis.state.tx.us/BillLookup/History.aspx?LegSess=85R&amp;Bill=SB2105","SB2105")</f>
        <v>SB2105</v>
      </c>
      <c r="E207" s="26" t="s">
        <v>196</v>
      </c>
      <c r="F207" s="1"/>
      <c r="G207" s="1"/>
      <c r="H207" s="8" t="s">
        <v>79</v>
      </c>
      <c r="I207" s="3"/>
      <c r="J207" s="3">
        <v>1</v>
      </c>
      <c r="K207" s="3"/>
      <c r="L207" s="3"/>
      <c r="M207" s="3"/>
      <c r="N207" s="3">
        <v>1</v>
      </c>
      <c r="O207" s="3"/>
      <c r="P207" s="3"/>
      <c r="Q207" s="3"/>
      <c r="R207" s="3">
        <v>1</v>
      </c>
      <c r="S207" s="3"/>
      <c r="T207" s="3"/>
      <c r="U207" s="3"/>
      <c r="V207" s="3"/>
      <c r="W207" s="3"/>
      <c r="X207" s="3"/>
      <c r="Y207" s="3"/>
      <c r="Z207" s="3"/>
      <c r="AA207" s="3"/>
      <c r="AB207" s="3"/>
      <c r="AC207" s="3"/>
      <c r="AD207" s="3"/>
      <c r="AE207" s="3"/>
      <c r="AF207" s="3"/>
    </row>
    <row r="208" spans="1:32" ht="36" x14ac:dyDescent="0.2">
      <c r="A208" s="29" t="s">
        <v>42</v>
      </c>
      <c r="B208" s="26" t="s">
        <v>72</v>
      </c>
      <c r="C208" s="27">
        <v>42901</v>
      </c>
      <c r="D208" s="28" t="str">
        <f>HYPERLINK("http://www.legis.state.tx.us/tlodocs/85R/billtext/pdf/HB03349F.pdf#navpanes=0","HB3349")</f>
        <v>HB3349</v>
      </c>
      <c r="E208" s="26" t="s">
        <v>234</v>
      </c>
      <c r="F208" s="1"/>
      <c r="G208" s="1"/>
      <c r="H208" s="8" t="s">
        <v>81</v>
      </c>
      <c r="I208" s="3">
        <v>1</v>
      </c>
      <c r="J208" s="3"/>
      <c r="K208" s="3"/>
      <c r="L208" s="3"/>
      <c r="M208" s="3"/>
      <c r="N208" s="3"/>
      <c r="O208" s="3"/>
      <c r="P208" s="3"/>
      <c r="Q208" s="3"/>
      <c r="R208" s="3">
        <v>1</v>
      </c>
      <c r="S208" s="3"/>
      <c r="T208" s="3"/>
      <c r="U208" s="3"/>
      <c r="V208" s="3"/>
      <c r="W208" s="3"/>
      <c r="X208" s="3"/>
      <c r="Y208" s="3"/>
      <c r="Z208" s="3"/>
      <c r="AA208" s="3"/>
      <c r="AB208" s="3"/>
      <c r="AC208" s="3"/>
      <c r="AD208" s="3"/>
      <c r="AE208" s="3"/>
      <c r="AF208" s="3"/>
    </row>
    <row r="209" spans="1:32" ht="48" x14ac:dyDescent="0.2">
      <c r="A209" s="29" t="s">
        <v>42</v>
      </c>
      <c r="B209" s="26" t="s">
        <v>72</v>
      </c>
      <c r="C209" s="27">
        <v>42901</v>
      </c>
      <c r="D209" s="28" t="s">
        <v>235</v>
      </c>
      <c r="E209" s="29" t="s">
        <v>333</v>
      </c>
      <c r="F209" s="1"/>
      <c r="G209" s="1"/>
      <c r="H209" s="8" t="s">
        <v>73</v>
      </c>
      <c r="I209" s="3"/>
      <c r="J209" s="3"/>
      <c r="K209" s="3"/>
      <c r="L209" s="3"/>
      <c r="M209" s="3"/>
      <c r="N209" s="3"/>
      <c r="O209" s="3"/>
      <c r="P209" s="3"/>
      <c r="Q209" s="3"/>
      <c r="R209" s="3">
        <v>1</v>
      </c>
      <c r="S209" s="3"/>
      <c r="T209" s="3"/>
      <c r="U209" s="3"/>
      <c r="V209" s="3"/>
      <c r="W209" s="3"/>
      <c r="X209" s="3"/>
      <c r="Y209" s="3"/>
      <c r="Z209" s="3"/>
      <c r="AA209" s="3"/>
      <c r="AB209" s="3"/>
      <c r="AC209" s="3"/>
      <c r="AD209" s="3"/>
      <c r="AE209" s="3"/>
      <c r="AF209" s="3"/>
    </row>
    <row r="210" spans="1:32" ht="36" x14ac:dyDescent="0.2">
      <c r="A210" s="29" t="s">
        <v>42</v>
      </c>
      <c r="B210" s="26" t="s">
        <v>72</v>
      </c>
      <c r="C210" s="27">
        <v>42884</v>
      </c>
      <c r="D210" s="28" t="s">
        <v>236</v>
      </c>
      <c r="E210" s="26" t="s">
        <v>239</v>
      </c>
      <c r="F210" s="1"/>
      <c r="G210" s="1"/>
      <c r="H210" s="8" t="s">
        <v>81</v>
      </c>
      <c r="I210" s="3"/>
      <c r="J210" s="3"/>
      <c r="K210" s="3">
        <v>1</v>
      </c>
      <c r="L210" s="3"/>
      <c r="M210" s="3"/>
      <c r="N210" s="3"/>
      <c r="O210" s="3"/>
      <c r="P210" s="3"/>
      <c r="Q210" s="3"/>
      <c r="R210" s="3"/>
      <c r="S210" s="3"/>
      <c r="T210" s="3"/>
      <c r="U210" s="3"/>
      <c r="V210" s="3"/>
      <c r="W210" s="3"/>
      <c r="X210" s="3"/>
      <c r="Y210" s="3"/>
      <c r="Z210" s="3"/>
      <c r="AA210" s="3"/>
      <c r="AB210" s="3"/>
      <c r="AC210" s="3"/>
      <c r="AD210" s="3"/>
      <c r="AE210" s="3"/>
      <c r="AF210" s="3"/>
    </row>
    <row r="211" spans="1:32" ht="36" x14ac:dyDescent="0.2">
      <c r="A211" s="29" t="s">
        <v>42</v>
      </c>
      <c r="B211" s="26" t="s">
        <v>72</v>
      </c>
      <c r="C211" s="27">
        <v>42884</v>
      </c>
      <c r="D211" s="28" t="s">
        <v>237</v>
      </c>
      <c r="E211" s="26" t="s">
        <v>240</v>
      </c>
      <c r="F211" s="1"/>
      <c r="G211" s="1"/>
      <c r="H211" s="8" t="s">
        <v>73</v>
      </c>
      <c r="I211" s="3"/>
      <c r="J211" s="3"/>
      <c r="K211" s="3"/>
      <c r="L211" s="3"/>
      <c r="M211" s="3">
        <v>1</v>
      </c>
      <c r="N211" s="3"/>
      <c r="O211" s="3"/>
      <c r="P211" s="3"/>
      <c r="Q211" s="3"/>
      <c r="R211" s="3"/>
      <c r="S211" s="3"/>
      <c r="T211" s="3"/>
      <c r="U211" s="3"/>
      <c r="V211" s="3"/>
      <c r="W211" s="3"/>
      <c r="X211" s="3"/>
      <c r="Y211" s="3"/>
      <c r="Z211" s="3"/>
      <c r="AA211" s="3"/>
      <c r="AB211" s="3"/>
      <c r="AC211" s="3"/>
      <c r="AD211" s="3"/>
      <c r="AE211" s="3"/>
      <c r="AF211" s="3"/>
    </row>
    <row r="212" spans="1:32" ht="48" x14ac:dyDescent="0.2">
      <c r="A212" s="29" t="s">
        <v>42</v>
      </c>
      <c r="B212" s="26" t="s">
        <v>72</v>
      </c>
      <c r="C212" s="27">
        <v>42898</v>
      </c>
      <c r="D212" s="28" t="s">
        <v>238</v>
      </c>
      <c r="E212" s="26" t="s">
        <v>241</v>
      </c>
      <c r="F212" s="1"/>
      <c r="G212" s="1"/>
      <c r="H212" s="8" t="s">
        <v>81</v>
      </c>
      <c r="I212" s="3"/>
      <c r="J212" s="3"/>
      <c r="K212" s="3">
        <v>1</v>
      </c>
      <c r="L212" s="3"/>
      <c r="M212" s="3"/>
      <c r="N212" s="3"/>
      <c r="O212" s="3"/>
      <c r="P212" s="3"/>
      <c r="Q212" s="3"/>
      <c r="R212" s="3"/>
      <c r="S212" s="3"/>
      <c r="T212" s="3"/>
      <c r="U212" s="3"/>
      <c r="V212" s="3"/>
      <c r="W212" s="3"/>
      <c r="X212" s="3"/>
      <c r="Y212" s="3"/>
      <c r="Z212" s="3"/>
      <c r="AA212" s="3"/>
      <c r="AB212" s="3"/>
      <c r="AC212" s="3"/>
      <c r="AD212" s="3"/>
      <c r="AE212" s="3"/>
      <c r="AF212" s="3"/>
    </row>
    <row r="213" spans="1:32" ht="24" x14ac:dyDescent="0.2">
      <c r="A213" s="29" t="s">
        <v>325</v>
      </c>
      <c r="B213" s="29" t="s">
        <v>321</v>
      </c>
      <c r="C213" s="35" t="s">
        <v>321</v>
      </c>
      <c r="D213" s="35" t="s">
        <v>321</v>
      </c>
      <c r="E213" s="29" t="s">
        <v>322</v>
      </c>
      <c r="F213" s="19"/>
      <c r="G213" s="19"/>
      <c r="H213" s="8"/>
      <c r="I213" s="13"/>
      <c r="J213" s="13"/>
      <c r="K213" s="13"/>
      <c r="L213" s="13"/>
      <c r="M213" s="13"/>
      <c r="N213" s="13"/>
      <c r="O213" s="13"/>
      <c r="P213" s="13"/>
      <c r="Q213" s="13"/>
      <c r="R213" s="13"/>
      <c r="S213" s="13"/>
      <c r="T213" s="13"/>
      <c r="U213" s="13"/>
      <c r="V213" s="13"/>
      <c r="W213" s="13"/>
      <c r="X213" s="13"/>
      <c r="Y213" s="13"/>
      <c r="Z213" s="3"/>
      <c r="AA213" s="3"/>
      <c r="AB213" s="3"/>
      <c r="AC213" s="3"/>
      <c r="AD213" s="3"/>
      <c r="AE213" s="3"/>
      <c r="AF213" s="3"/>
    </row>
    <row r="214" spans="1:32" ht="36" x14ac:dyDescent="0.2">
      <c r="A214" s="29" t="s">
        <v>43</v>
      </c>
      <c r="B214" s="26" t="s">
        <v>74</v>
      </c>
      <c r="C214" s="27">
        <v>42782</v>
      </c>
      <c r="D214" s="28" t="str">
        <f>HYPERLINK("https://le.utah.gov/~2017/bills/static/SB0001.html","SB1")</f>
        <v>SB1</v>
      </c>
      <c r="E214" s="29" t="s">
        <v>334</v>
      </c>
      <c r="F214" s="1"/>
      <c r="G214" s="1"/>
      <c r="H214" s="8" t="s">
        <v>73</v>
      </c>
      <c r="I214" s="3">
        <v>1</v>
      </c>
      <c r="J214" s="3"/>
      <c r="K214" s="3"/>
      <c r="L214" s="3"/>
      <c r="M214" s="3"/>
      <c r="N214" s="3">
        <v>1</v>
      </c>
      <c r="O214" s="3"/>
      <c r="P214" s="3"/>
      <c r="Q214" s="3"/>
      <c r="R214" s="3"/>
      <c r="S214" s="3"/>
      <c r="T214" s="3"/>
      <c r="U214" s="3"/>
      <c r="V214" s="3"/>
      <c r="W214" s="3"/>
      <c r="X214" s="3"/>
      <c r="Y214" s="3"/>
      <c r="Z214" s="3"/>
      <c r="AA214" s="3"/>
      <c r="AB214" s="3"/>
      <c r="AC214" s="3"/>
      <c r="AD214" s="3"/>
      <c r="AE214" s="3"/>
      <c r="AF214" s="3"/>
    </row>
    <row r="215" spans="1:32" ht="24" x14ac:dyDescent="0.2">
      <c r="A215" s="29" t="s">
        <v>43</v>
      </c>
      <c r="B215" s="26" t="s">
        <v>114</v>
      </c>
      <c r="C215" s="27"/>
      <c r="D215" s="28" t="str">
        <f>HYPERLINK("https://www2.ed.gov/admins/lead/account/stateplan17/utconsolidatedstateplan.pdf","UT's ESSA plan")</f>
        <v>UT's ESSA plan</v>
      </c>
      <c r="E215" s="29" t="s">
        <v>335</v>
      </c>
      <c r="F215" s="1"/>
      <c r="G215" s="1" t="s">
        <v>86</v>
      </c>
      <c r="H215" s="8" t="s">
        <v>73</v>
      </c>
      <c r="I215" s="3"/>
      <c r="J215" s="3"/>
      <c r="K215" s="3">
        <v>1</v>
      </c>
      <c r="L215" s="3"/>
      <c r="M215" s="3"/>
      <c r="N215" s="3">
        <v>1</v>
      </c>
      <c r="O215" s="3"/>
      <c r="P215" s="3"/>
      <c r="Q215" s="3"/>
      <c r="R215" s="3"/>
      <c r="S215" s="3"/>
      <c r="T215" s="3"/>
      <c r="U215" s="3"/>
      <c r="V215" s="3"/>
      <c r="W215" s="3"/>
      <c r="X215" s="3"/>
      <c r="Y215" s="3"/>
      <c r="Z215" s="3"/>
      <c r="AA215" s="3"/>
      <c r="AB215" s="3"/>
      <c r="AC215" s="3"/>
      <c r="AD215" s="3"/>
      <c r="AE215" s="3"/>
      <c r="AF215" s="3"/>
    </row>
    <row r="216" spans="1:32" ht="72" x14ac:dyDescent="0.2">
      <c r="A216" s="29" t="s">
        <v>43</v>
      </c>
      <c r="B216" s="26" t="s">
        <v>72</v>
      </c>
      <c r="C216" s="27">
        <v>42818</v>
      </c>
      <c r="D216" s="28" t="str">
        <f>HYPERLINK("https://le.utah.gov/~2017/bills/static/SB0194.html","SB194")</f>
        <v>SB194</v>
      </c>
      <c r="E216" s="26" t="s">
        <v>197</v>
      </c>
      <c r="F216" s="21" t="str">
        <f>HYPERLINK("http://www.nationalskillscoalition.org/resources/publications/file/2017-Legislative-Roundup.pdf","Source")</f>
        <v>Source</v>
      </c>
      <c r="G216" s="1"/>
      <c r="H216" s="8" t="s">
        <v>75</v>
      </c>
      <c r="I216" s="3"/>
      <c r="J216" s="3"/>
      <c r="K216" s="3"/>
      <c r="L216" s="3"/>
      <c r="M216" s="3"/>
      <c r="N216" s="3">
        <v>1</v>
      </c>
      <c r="O216" s="3"/>
      <c r="P216" s="3"/>
      <c r="Q216" s="3"/>
      <c r="R216" s="3"/>
      <c r="S216" s="3"/>
      <c r="T216" s="3">
        <v>1</v>
      </c>
      <c r="U216" s="3"/>
      <c r="V216" s="3"/>
      <c r="W216" s="3"/>
      <c r="X216" s="3"/>
      <c r="Y216" s="3"/>
      <c r="Z216" s="5"/>
      <c r="AA216" s="5"/>
      <c r="AB216" s="5"/>
      <c r="AC216" s="5"/>
      <c r="AD216" s="5"/>
      <c r="AE216" s="5"/>
      <c r="AF216" s="5"/>
    </row>
    <row r="217" spans="1:32" ht="48" x14ac:dyDescent="0.2">
      <c r="A217" s="29" t="s">
        <v>43</v>
      </c>
      <c r="B217" s="26" t="s">
        <v>72</v>
      </c>
      <c r="C217" s="27"/>
      <c r="D217" s="28" t="str">
        <f>HYPERLINK("https://le.utah.gov/~2017/bills/static/SB0117.html","SB117")</f>
        <v>SB117</v>
      </c>
      <c r="E217" s="26" t="s">
        <v>198</v>
      </c>
      <c r="F217" s="21" t="str">
        <f>HYPERLINK("https://www.ecs.org/ec-content/uploads/Policy-Snapshot-Outcomes-Based-Funding.pdf","Source")</f>
        <v>Source</v>
      </c>
      <c r="G217" s="1"/>
      <c r="H217" s="8" t="s">
        <v>76</v>
      </c>
      <c r="I217" s="3">
        <v>1</v>
      </c>
      <c r="J217" s="3"/>
      <c r="K217" s="3"/>
      <c r="L217" s="3">
        <v>1</v>
      </c>
      <c r="M217" s="3"/>
      <c r="N217" s="3">
        <v>1</v>
      </c>
      <c r="O217" s="3"/>
      <c r="P217" s="3"/>
      <c r="Q217" s="3"/>
      <c r="R217" s="3"/>
      <c r="S217" s="3"/>
      <c r="T217" s="3"/>
      <c r="U217" s="3"/>
      <c r="V217" s="3"/>
      <c r="W217" s="3"/>
      <c r="X217" s="3"/>
      <c r="Y217" s="3"/>
      <c r="Z217" s="3"/>
      <c r="AA217" s="3"/>
      <c r="AB217" s="3"/>
      <c r="AC217" s="3"/>
      <c r="AD217" s="3"/>
      <c r="AE217" s="3"/>
      <c r="AF217" s="3"/>
    </row>
    <row r="218" spans="1:32" ht="12.75" x14ac:dyDescent="0.2">
      <c r="A218" s="29" t="s">
        <v>43</v>
      </c>
      <c r="B218" s="26" t="s">
        <v>72</v>
      </c>
      <c r="C218" s="27"/>
      <c r="D218" s="28" t="str">
        <f>HYPERLINK("https://le.utah.gov/~2017/bills/static/SB0238.html","SB238S01")</f>
        <v>SB238S01</v>
      </c>
      <c r="E218" s="26" t="s">
        <v>199</v>
      </c>
      <c r="F218" s="1"/>
      <c r="G218" s="1"/>
      <c r="H218" s="8" t="s">
        <v>76</v>
      </c>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4" x14ac:dyDescent="0.2">
      <c r="A219" s="29" t="s">
        <v>43</v>
      </c>
      <c r="B219" s="26" t="s">
        <v>72</v>
      </c>
      <c r="C219" s="27">
        <v>42815</v>
      </c>
      <c r="D219" s="30" t="str">
        <f>HYPERLINK("https://le.utah.gov/~2017/bills/static/SB0034.html","SB34")</f>
        <v>SB34</v>
      </c>
      <c r="E219" s="26" t="s">
        <v>200</v>
      </c>
      <c r="F219" s="21" t="str">
        <f>HYPERLINK("https://www.ksl.com/?sid=42239872&amp;nid=148","Source")</f>
        <v>Source</v>
      </c>
      <c r="G219" s="1"/>
      <c r="H219" s="8" t="s">
        <v>73</v>
      </c>
      <c r="I219" s="3">
        <v>1</v>
      </c>
      <c r="J219" s="3"/>
      <c r="K219" s="3"/>
      <c r="L219" s="3"/>
      <c r="M219" s="3"/>
      <c r="N219" s="3"/>
      <c r="O219" s="3"/>
      <c r="P219" s="3"/>
      <c r="Q219" s="3"/>
      <c r="R219" s="3"/>
      <c r="S219" s="3"/>
      <c r="T219" s="3"/>
      <c r="U219" s="3"/>
      <c r="V219" s="3">
        <v>1</v>
      </c>
      <c r="W219" s="3"/>
      <c r="X219" s="3"/>
      <c r="Y219" s="3"/>
      <c r="Z219" s="3"/>
      <c r="AA219" s="3"/>
      <c r="AB219" s="3"/>
      <c r="AC219" s="3"/>
      <c r="AD219" s="3"/>
      <c r="AE219" s="3"/>
      <c r="AF219" s="3"/>
    </row>
    <row r="220" spans="1:32" ht="72" x14ac:dyDescent="0.2">
      <c r="A220" s="29" t="s">
        <v>43</v>
      </c>
      <c r="B220" s="26" t="s">
        <v>72</v>
      </c>
      <c r="C220" s="27">
        <v>42815</v>
      </c>
      <c r="D220" s="28" t="str">
        <f>HYPERLINK("https://le.utah.gov/~2017/bills/static/SB0190.html","SB190")</f>
        <v>SB190</v>
      </c>
      <c r="E220" s="26" t="s">
        <v>201</v>
      </c>
      <c r="F220" s="21" t="str">
        <f>HYPERLINK("http://www.ecs.org/ec-content/uploads/PS_Competency-Based_Education.pdf","Source")</f>
        <v>Source</v>
      </c>
      <c r="G220" s="1"/>
      <c r="H220" s="8" t="s">
        <v>81</v>
      </c>
      <c r="I220" s="3">
        <v>1</v>
      </c>
      <c r="J220" s="3">
        <v>1</v>
      </c>
      <c r="K220" s="3"/>
      <c r="L220" s="3">
        <v>1</v>
      </c>
      <c r="M220" s="3"/>
      <c r="N220" s="3"/>
      <c r="O220" s="3">
        <v>1</v>
      </c>
      <c r="P220" s="3"/>
      <c r="Q220" s="3"/>
      <c r="R220" s="3"/>
      <c r="S220" s="3"/>
      <c r="T220" s="3"/>
      <c r="U220" s="3"/>
      <c r="V220" s="3">
        <v>1</v>
      </c>
      <c r="W220" s="3"/>
      <c r="X220" s="3"/>
      <c r="Y220" s="3"/>
      <c r="Z220" s="3"/>
      <c r="AA220" s="3"/>
      <c r="AB220" s="3"/>
      <c r="AC220" s="3"/>
      <c r="AD220" s="3"/>
      <c r="AE220" s="3"/>
      <c r="AF220" s="3"/>
    </row>
    <row r="221" spans="1:32" ht="72" x14ac:dyDescent="0.2">
      <c r="A221" s="29" t="s">
        <v>43</v>
      </c>
      <c r="B221" s="26" t="s">
        <v>72</v>
      </c>
      <c r="C221" s="27">
        <v>42822</v>
      </c>
      <c r="D221" s="28" t="str">
        <f>HYPERLINK("https://le.utah.gov/~2017/bills/static/SB0263.html","SB263")</f>
        <v>SB263</v>
      </c>
      <c r="E221" s="29" t="s">
        <v>336</v>
      </c>
      <c r="F221" s="21" t="str">
        <f>HYPERLINK("nationalskillscoalition","Source")</f>
        <v>Source</v>
      </c>
      <c r="G221" s="1"/>
      <c r="H221" s="8" t="s">
        <v>121</v>
      </c>
      <c r="I221" s="3"/>
      <c r="J221" s="3">
        <v>1</v>
      </c>
      <c r="K221" s="3"/>
      <c r="L221" s="3"/>
      <c r="M221" s="3"/>
      <c r="N221" s="3">
        <v>1</v>
      </c>
      <c r="O221" s="3"/>
      <c r="P221" s="3"/>
      <c r="Q221" s="3"/>
      <c r="R221" s="3"/>
      <c r="S221" s="3"/>
      <c r="T221" s="3">
        <v>1</v>
      </c>
      <c r="U221" s="3"/>
      <c r="V221" s="3"/>
      <c r="W221" s="3"/>
      <c r="X221" s="3"/>
      <c r="Y221" s="3"/>
      <c r="Z221" s="3"/>
      <c r="AA221" s="3"/>
      <c r="AB221" s="3"/>
      <c r="AC221" s="3"/>
      <c r="AD221" s="3"/>
      <c r="AE221" s="3"/>
      <c r="AF221" s="3"/>
    </row>
    <row r="222" spans="1:32" ht="60" x14ac:dyDescent="0.2">
      <c r="A222" s="29" t="s">
        <v>44</v>
      </c>
      <c r="B222" s="26" t="s">
        <v>74</v>
      </c>
      <c r="C222" s="27">
        <v>42914</v>
      </c>
      <c r="D222" s="28" t="str">
        <f>HYPERLINK("http://legislature.vermont.gov/bill/status/2018/H.542","H452")</f>
        <v>H452</v>
      </c>
      <c r="E222" s="29" t="s">
        <v>338</v>
      </c>
      <c r="F222" s="21" t="str">
        <f>HYPERLINK("http://www.burlingtonfreepress.com/story/news/politics/government/2017/06/21/scott-lawmakers-strike-education-savings-deal/415272001/'","Source")</f>
        <v>Source</v>
      </c>
      <c r="G222" s="1"/>
      <c r="H222" s="8" t="s">
        <v>121</v>
      </c>
      <c r="I222" s="3">
        <v>1</v>
      </c>
      <c r="J222" s="3">
        <v>1</v>
      </c>
      <c r="K222" s="3">
        <v>1</v>
      </c>
      <c r="L222" s="3"/>
      <c r="M222" s="3"/>
      <c r="N222" s="3">
        <v>1</v>
      </c>
      <c r="O222" s="3"/>
      <c r="P222" s="3"/>
      <c r="Q222" s="3"/>
      <c r="R222" s="3"/>
      <c r="S222" s="3"/>
      <c r="T222" s="3"/>
      <c r="U222" s="3"/>
      <c r="V222" s="3"/>
      <c r="W222" s="3"/>
      <c r="X222" s="3"/>
      <c r="Y222" s="3"/>
      <c r="Z222" s="3"/>
      <c r="AA222" s="3"/>
      <c r="AB222" s="3"/>
      <c r="AC222" s="3"/>
      <c r="AD222" s="3"/>
      <c r="AE222" s="3"/>
      <c r="AF222" s="3"/>
    </row>
    <row r="223" spans="1:32" ht="24" x14ac:dyDescent="0.2">
      <c r="A223" s="29" t="s">
        <v>44</v>
      </c>
      <c r="B223" s="26" t="s">
        <v>114</v>
      </c>
      <c r="C223" s="27"/>
      <c r="D223" s="28" t="str">
        <f>HYPERLINK("http://blogs.edweek.org/edweek/campaign-k-12/Vermont ESSA State Plan.pdf?_ga=2.185922988.485796513.1494942011-1223348652.1480350660","VT's ESSA plan")</f>
        <v>VT's ESSA plan</v>
      </c>
      <c r="E223" s="26" t="s">
        <v>384</v>
      </c>
      <c r="F223" s="1"/>
      <c r="G223" s="1" t="s">
        <v>86</v>
      </c>
      <c r="H223" s="8" t="s">
        <v>73</v>
      </c>
      <c r="I223" s="3"/>
      <c r="J223" s="3"/>
      <c r="K223" s="3"/>
      <c r="L223" s="3">
        <v>1</v>
      </c>
      <c r="M223" s="3"/>
      <c r="N223" s="3">
        <v>1</v>
      </c>
      <c r="O223" s="3"/>
      <c r="P223" s="3"/>
      <c r="Q223" s="3"/>
      <c r="R223" s="3"/>
      <c r="S223" s="3"/>
      <c r="T223" s="3"/>
      <c r="U223" s="3"/>
      <c r="V223" s="3"/>
      <c r="W223" s="3"/>
      <c r="X223" s="3"/>
      <c r="Y223" s="3"/>
      <c r="Z223" s="3"/>
      <c r="AA223" s="3"/>
      <c r="AB223" s="3"/>
      <c r="AC223" s="3"/>
      <c r="AD223" s="3"/>
      <c r="AE223" s="3"/>
      <c r="AF223" s="3"/>
    </row>
    <row r="224" spans="1:32" ht="132" x14ac:dyDescent="0.2">
      <c r="A224" s="29" t="s">
        <v>44</v>
      </c>
      <c r="B224" s="26" t="s">
        <v>96</v>
      </c>
      <c r="C224" s="31">
        <v>43033</v>
      </c>
      <c r="D224" s="30" t="str">
        <f>HYPERLINK("http://70x2025vt.org/","70x2025vt")</f>
        <v>70x2025vt</v>
      </c>
      <c r="E224" s="29" t="s">
        <v>339</v>
      </c>
      <c r="F224" s="9" t="str">
        <f>HYPERLINK("https://www.sevendaysvt.com/OffMessage/archives/2017/10/25/vermont-leaders-launch-new-post-secondary-education-goal","Source")</f>
        <v>Source</v>
      </c>
      <c r="G224" s="5"/>
      <c r="H224" s="8" t="s">
        <v>75</v>
      </c>
      <c r="I224" s="5">
        <v>1</v>
      </c>
      <c r="J224" s="5"/>
      <c r="K224" s="5"/>
      <c r="L224" s="5">
        <v>1</v>
      </c>
      <c r="M224" s="5"/>
      <c r="N224" s="5"/>
      <c r="O224" s="5"/>
      <c r="P224" s="5"/>
      <c r="Q224" s="5"/>
      <c r="R224" s="5"/>
      <c r="S224" s="5"/>
      <c r="T224" s="5"/>
      <c r="U224" s="5"/>
      <c r="V224" s="5"/>
      <c r="W224" s="5"/>
      <c r="X224" s="5"/>
      <c r="Y224" s="5"/>
      <c r="Z224" s="3"/>
      <c r="AA224" s="3"/>
      <c r="AB224" s="3"/>
      <c r="AC224" s="3"/>
      <c r="AD224" s="3"/>
      <c r="AE224" s="3"/>
      <c r="AF224" s="3"/>
    </row>
    <row r="225" spans="1:32" ht="168" x14ac:dyDescent="0.2">
      <c r="A225" s="29" t="s">
        <v>44</v>
      </c>
      <c r="B225" s="26" t="s">
        <v>72</v>
      </c>
      <c r="C225" s="27">
        <v>42894</v>
      </c>
      <c r="D225" s="28" t="str">
        <f>HYPERLINK("http://legislature.vermont.gov/bill/status/2018/S.135","S135")</f>
        <v>S135</v>
      </c>
      <c r="E225" s="29" t="s">
        <v>337</v>
      </c>
      <c r="F225" s="21" t="str">
        <f>HYPERLINK("http://www.stowetoday.com/waterbury_record/opinion/featured_columnists/legislators-listened-and-made-key-investments/article_3bc247c6-4c5f-11e7-aaeb-9302cc63820c.html","Source")</f>
        <v>Source</v>
      </c>
      <c r="G225" s="1"/>
      <c r="H225" s="8" t="s">
        <v>75</v>
      </c>
      <c r="I225" s="3">
        <v>1</v>
      </c>
      <c r="J225" s="3">
        <v>1</v>
      </c>
      <c r="K225" s="3">
        <v>1</v>
      </c>
      <c r="L225" s="3"/>
      <c r="M225" s="3"/>
      <c r="N225" s="3">
        <v>1</v>
      </c>
      <c r="O225" s="3"/>
      <c r="P225" s="3"/>
      <c r="Q225" s="3"/>
      <c r="R225" s="3"/>
      <c r="S225" s="3">
        <v>1</v>
      </c>
      <c r="T225" s="3">
        <v>1</v>
      </c>
      <c r="U225" s="3"/>
      <c r="V225" s="3"/>
      <c r="W225" s="3"/>
      <c r="X225" s="3"/>
      <c r="Y225" s="3">
        <v>1</v>
      </c>
      <c r="Z225" s="3"/>
      <c r="AA225" s="3"/>
      <c r="AB225" s="3"/>
      <c r="AC225" s="3"/>
      <c r="AD225" s="3"/>
      <c r="AE225" s="3"/>
      <c r="AF225" s="3"/>
    </row>
    <row r="226" spans="1:32" ht="48" x14ac:dyDescent="0.2">
      <c r="A226" s="29" t="s">
        <v>45</v>
      </c>
      <c r="B226" s="26" t="s">
        <v>114</v>
      </c>
      <c r="C226" s="27">
        <v>43053</v>
      </c>
      <c r="D226" s="28" t="str">
        <f>HYPERLINK("http://www.doe.virginia.gov/boe/meetings/2017/11-nov/agenda-items/item-b.pdf","Computer Science Standards of Learning")</f>
        <v>Computer Science Standards of Learning</v>
      </c>
      <c r="E226" s="26" t="s">
        <v>342</v>
      </c>
      <c r="F226" s="21" t="str">
        <f>HYPERLINK("http://www.fredericksburg.com/news/education/virginia-will-require-computer-science-education-in-high-school/article_42ef33e1-1371-50f3-8d3e-0505a847d704.html","Source")</f>
        <v>Source</v>
      </c>
      <c r="G226" s="1"/>
      <c r="H226" s="8" t="s">
        <v>73</v>
      </c>
      <c r="I226" s="3"/>
      <c r="J226" s="3"/>
      <c r="K226" s="3"/>
      <c r="L226" s="3"/>
      <c r="M226" s="3"/>
      <c r="N226" s="3"/>
      <c r="O226" s="3"/>
      <c r="P226" s="3">
        <v>1</v>
      </c>
      <c r="Q226" s="3"/>
      <c r="R226" s="3"/>
      <c r="S226" s="3"/>
      <c r="T226" s="3"/>
      <c r="U226" s="3"/>
      <c r="V226" s="3"/>
      <c r="W226" s="3"/>
      <c r="X226" s="3"/>
      <c r="Y226" s="3"/>
      <c r="Z226" s="3"/>
      <c r="AA226" s="3"/>
      <c r="AB226" s="3"/>
      <c r="AC226" s="3"/>
      <c r="AD226" s="3"/>
      <c r="AE226" s="3"/>
      <c r="AF226" s="3"/>
    </row>
    <row r="227" spans="1:32" ht="36" x14ac:dyDescent="0.2">
      <c r="A227" s="29" t="s">
        <v>45</v>
      </c>
      <c r="B227" s="26" t="s">
        <v>74</v>
      </c>
      <c r="C227" s="31">
        <v>42853</v>
      </c>
      <c r="D227" s="30" t="str">
        <f>HYPERLINK("http://lis.virginia.gov/cgi-bin/legp604.exe?171+sum+HB1500","HB1500")</f>
        <v>HB1500</v>
      </c>
      <c r="E227" s="26" t="s">
        <v>341</v>
      </c>
      <c r="F227" s="9" t="str">
        <f>HYPERLINK("http://www.richmond.com/news/virginia/government-politics/general-assembly/article_3cb626ea-019b-55de-93ee-e69d1c142429.html","Source")</f>
        <v>Source</v>
      </c>
      <c r="G227" s="5"/>
      <c r="H227" s="8" t="s">
        <v>73</v>
      </c>
      <c r="I227" s="5">
        <v>1</v>
      </c>
      <c r="J227" s="5"/>
      <c r="K227" s="5"/>
      <c r="L227" s="5">
        <v>1</v>
      </c>
      <c r="M227" s="5"/>
      <c r="N227" s="5"/>
      <c r="O227" s="5"/>
      <c r="P227" s="5"/>
      <c r="Q227" s="5"/>
      <c r="R227" s="5">
        <v>1</v>
      </c>
      <c r="S227" s="5"/>
      <c r="T227" s="5"/>
      <c r="U227" s="5"/>
      <c r="V227" s="5"/>
      <c r="W227" s="5"/>
      <c r="X227" s="5"/>
      <c r="Y227" s="5"/>
      <c r="Z227" s="3"/>
      <c r="AA227" s="3"/>
      <c r="AB227" s="3"/>
      <c r="AC227" s="3"/>
      <c r="AD227" s="3"/>
      <c r="AE227" s="3"/>
      <c r="AF227" s="3"/>
    </row>
    <row r="228" spans="1:32" ht="60" x14ac:dyDescent="0.2">
      <c r="A228" s="29" t="s">
        <v>45</v>
      </c>
      <c r="B228" s="26" t="s">
        <v>72</v>
      </c>
      <c r="C228" s="27">
        <v>42807</v>
      </c>
      <c r="D228" s="28" t="str">
        <f>HYPERLINK("http://lis.virginia.gov/cgi-bin/legp604.exe?171+sum+HB1664","HB1664")</f>
        <v>HB1664</v>
      </c>
      <c r="E228" s="26" t="s">
        <v>340</v>
      </c>
      <c r="F228" s="21" t="str">
        <f>HYPERLINK("http://www.workforcedqc.org/news/blog/states-pass-data-legislation-first-quarter-2017","Source")</f>
        <v>Source</v>
      </c>
      <c r="G228" s="1"/>
      <c r="H228" s="8" t="s">
        <v>75</v>
      </c>
      <c r="I228" s="3"/>
      <c r="J228" s="3"/>
      <c r="K228" s="3"/>
      <c r="L228" s="3"/>
      <c r="M228" s="3"/>
      <c r="N228" s="3">
        <v>1</v>
      </c>
      <c r="O228" s="3"/>
      <c r="P228" s="3"/>
      <c r="Q228" s="3"/>
      <c r="R228" s="3"/>
      <c r="S228" s="3"/>
      <c r="T228" s="3">
        <v>1</v>
      </c>
      <c r="U228" s="3"/>
      <c r="V228" s="3"/>
      <c r="W228" s="3"/>
      <c r="X228" s="3"/>
      <c r="Y228" s="3"/>
      <c r="Z228" s="3"/>
      <c r="AA228" s="3"/>
      <c r="AB228" s="3"/>
      <c r="AC228" s="3"/>
      <c r="AD228" s="3"/>
      <c r="AE228" s="3"/>
      <c r="AF228" s="3"/>
    </row>
    <row r="229" spans="1:32" ht="24" x14ac:dyDescent="0.2">
      <c r="A229" s="29" t="s">
        <v>45</v>
      </c>
      <c r="B229" s="26" t="s">
        <v>72</v>
      </c>
      <c r="C229" s="27">
        <v>42787</v>
      </c>
      <c r="D229" s="28" t="str">
        <f>HYPERLINK("http://lis.virginia.gov/cgi-bin/legp604.exe?171+sum+HB1592","HB1592")</f>
        <v>HB1592</v>
      </c>
      <c r="E229" s="26" t="s">
        <v>202</v>
      </c>
      <c r="F229" s="21" t="str">
        <f>HYPERLINK("http://www.progress-index.com/news/20170213/va-governor-continues-push-to-link-workforce-development-and-education","Source")</f>
        <v>Source</v>
      </c>
      <c r="G229" s="1"/>
      <c r="H229" s="8" t="s">
        <v>76</v>
      </c>
      <c r="I229" s="3"/>
      <c r="J229" s="3">
        <v>1</v>
      </c>
      <c r="K229" s="3"/>
      <c r="L229" s="3"/>
      <c r="M229" s="3"/>
      <c r="N229" s="3"/>
      <c r="O229" s="3"/>
      <c r="P229" s="3"/>
      <c r="Q229" s="3"/>
      <c r="R229" s="3"/>
      <c r="S229" s="3"/>
      <c r="T229" s="3"/>
      <c r="U229" s="3"/>
      <c r="V229" s="3">
        <v>1</v>
      </c>
      <c r="W229" s="3"/>
      <c r="X229" s="3"/>
      <c r="Y229" s="3"/>
      <c r="Z229" s="3"/>
      <c r="AA229" s="3"/>
      <c r="AB229" s="3"/>
      <c r="AC229" s="3"/>
      <c r="AD229" s="3"/>
      <c r="AE229" s="3"/>
      <c r="AF229" s="3"/>
    </row>
    <row r="230" spans="1:32" ht="48" x14ac:dyDescent="0.2">
      <c r="A230" s="29" t="s">
        <v>45</v>
      </c>
      <c r="B230" s="26" t="s">
        <v>72</v>
      </c>
      <c r="C230" s="27">
        <v>42797</v>
      </c>
      <c r="D230" s="28" t="str">
        <f>HYPERLINK("http://lis.virginia.gov/cgi-bin/legp604.exe?171+sum+SB1032","SB1032")</f>
        <v>SB1032</v>
      </c>
      <c r="E230" s="26" t="s">
        <v>203</v>
      </c>
      <c r="F230" s="21" t="str">
        <f>HYPERLINK("http://www.progress-index.com/news/20170213/va-governor-continues-push-to-link-workforce-development-and-education","Source")</f>
        <v>Source</v>
      </c>
      <c r="G230" s="1"/>
      <c r="H230" s="8" t="s">
        <v>76</v>
      </c>
      <c r="I230" s="3">
        <v>1</v>
      </c>
      <c r="J230" s="3"/>
      <c r="K230" s="3"/>
      <c r="L230" s="3"/>
      <c r="M230" s="3"/>
      <c r="N230" s="3"/>
      <c r="O230" s="3"/>
      <c r="P230" s="3"/>
      <c r="Q230" s="3"/>
      <c r="R230" s="3"/>
      <c r="S230" s="3"/>
      <c r="T230" s="3"/>
      <c r="U230" s="3"/>
      <c r="V230" s="3"/>
      <c r="W230" s="3"/>
      <c r="X230" s="3"/>
      <c r="Y230" s="3">
        <v>1</v>
      </c>
      <c r="Z230" s="3"/>
      <c r="AA230" s="3"/>
      <c r="AB230" s="3"/>
      <c r="AC230" s="3"/>
      <c r="AD230" s="3"/>
      <c r="AE230" s="3"/>
      <c r="AF230" s="3"/>
    </row>
    <row r="231" spans="1:32" ht="24" x14ac:dyDescent="0.2">
      <c r="A231" s="29" t="s">
        <v>45</v>
      </c>
      <c r="B231" s="26" t="s">
        <v>72</v>
      </c>
      <c r="C231" s="27">
        <v>42790</v>
      </c>
      <c r="D231" s="28" t="str">
        <f>HYPERLINK("http://lis.virginia.gov/cgi-bin/legp604.exe?171+sum+HB1770","HB1770")</f>
        <v>HB1770</v>
      </c>
      <c r="E231" s="26" t="s">
        <v>204</v>
      </c>
      <c r="F231" s="21" t="str">
        <f>HYPERLINK("http://www.dailyprogress.com/starexponent/news/state-and-regional-news-in-brief/article_e8153076-861e-5844-932c-8c583fe63f67.html","Source")</f>
        <v>Source</v>
      </c>
      <c r="G231" s="1"/>
      <c r="H231" s="8" t="s">
        <v>73</v>
      </c>
      <c r="I231" s="3"/>
      <c r="J231" s="3"/>
      <c r="K231" s="3"/>
      <c r="L231" s="3"/>
      <c r="M231" s="3"/>
      <c r="N231" s="3"/>
      <c r="O231" s="3"/>
      <c r="P231" s="3"/>
      <c r="Q231" s="3"/>
      <c r="R231" s="3">
        <v>1</v>
      </c>
      <c r="S231" s="3"/>
      <c r="T231" s="3"/>
      <c r="U231" s="3"/>
      <c r="V231" s="3"/>
      <c r="W231" s="3"/>
      <c r="X231" s="3"/>
      <c r="Y231" s="3"/>
      <c r="Z231" s="3"/>
      <c r="AA231" s="3"/>
      <c r="AB231" s="3"/>
      <c r="AC231" s="3"/>
      <c r="AD231" s="3"/>
      <c r="AE231" s="3"/>
      <c r="AF231" s="3"/>
    </row>
    <row r="232" spans="1:32" ht="48" x14ac:dyDescent="0.2">
      <c r="A232" s="29" t="s">
        <v>45</v>
      </c>
      <c r="B232" s="26" t="s">
        <v>72</v>
      </c>
      <c r="C232" s="27">
        <v>42807</v>
      </c>
      <c r="D232" s="28" t="str">
        <f>HYPERLINK("https://lis.virginia.gov/cgi-bin/legp604.exe?171+sum+SB1159","SB1159")</f>
        <v>SB1159</v>
      </c>
      <c r="E232" s="26" t="s">
        <v>205</v>
      </c>
      <c r="F232" s="1"/>
      <c r="G232" s="1"/>
      <c r="H232" s="8" t="s">
        <v>73</v>
      </c>
      <c r="I232" s="3"/>
      <c r="J232" s="3"/>
      <c r="K232" s="3"/>
      <c r="L232" s="3">
        <v>1</v>
      </c>
      <c r="M232" s="3">
        <v>1</v>
      </c>
      <c r="N232" s="3"/>
      <c r="O232" s="3"/>
      <c r="P232" s="3"/>
      <c r="Q232" s="3">
        <v>1</v>
      </c>
      <c r="R232" s="3"/>
      <c r="S232" s="3"/>
      <c r="T232" s="3"/>
      <c r="U232" s="3"/>
      <c r="V232" s="3"/>
      <c r="W232" s="3"/>
      <c r="X232" s="3"/>
      <c r="Y232" s="3"/>
      <c r="Z232" s="3"/>
      <c r="AA232" s="3"/>
      <c r="AB232" s="3"/>
      <c r="AC232" s="3"/>
      <c r="AD232" s="3"/>
      <c r="AE232" s="3"/>
      <c r="AF232" s="3"/>
    </row>
    <row r="233" spans="1:32" ht="60" x14ac:dyDescent="0.2">
      <c r="A233" s="29" t="s">
        <v>45</v>
      </c>
      <c r="B233" s="26" t="s">
        <v>72</v>
      </c>
      <c r="C233" s="27">
        <v>42818</v>
      </c>
      <c r="D233" s="28" t="str">
        <f>HYPERLINK("https://lis.virginia.gov/cgi-bin/legp604.exe?171+sum+HB1981","HB1981")</f>
        <v>HB1981</v>
      </c>
      <c r="E233" s="26" t="s">
        <v>206</v>
      </c>
      <c r="F233" s="21" t="str">
        <f>HYPERLINK("http://loudounnow.com/2017/06/30/a-slew-of-new-state-laws-go-into-effect-saturday/","Source")</f>
        <v>Source</v>
      </c>
      <c r="G233" s="1"/>
      <c r="H233" s="8" t="s">
        <v>73</v>
      </c>
      <c r="I233" s="3"/>
      <c r="J233" s="3">
        <v>1</v>
      </c>
      <c r="K233" s="3"/>
      <c r="L233" s="3"/>
      <c r="M233" s="3"/>
      <c r="N233" s="3"/>
      <c r="O233" s="3"/>
      <c r="P233" s="3"/>
      <c r="Q233" s="3"/>
      <c r="R233" s="3">
        <v>1</v>
      </c>
      <c r="S233" s="3"/>
      <c r="T233" s="3"/>
      <c r="U233" s="3"/>
      <c r="V233" s="3"/>
      <c r="W233" s="3"/>
      <c r="X233" s="3"/>
      <c r="Y233" s="3"/>
      <c r="Z233" s="3"/>
      <c r="AA233" s="3"/>
      <c r="AB233" s="3"/>
      <c r="AC233" s="3"/>
      <c r="AD233" s="3"/>
      <c r="AE233" s="3"/>
      <c r="AF233" s="3"/>
    </row>
    <row r="234" spans="1:32" ht="36" x14ac:dyDescent="0.2">
      <c r="A234" s="29" t="s">
        <v>45</v>
      </c>
      <c r="B234" s="26" t="s">
        <v>72</v>
      </c>
      <c r="C234" s="39">
        <v>42830</v>
      </c>
      <c r="D234" s="28" t="str">
        <f>HYPERLINK("https://lis.virginia.gov/cgi-bin/legp604.exe?171+sum+HB1663","HB1663")</f>
        <v>HB1663</v>
      </c>
      <c r="E234" s="26" t="s">
        <v>207</v>
      </c>
      <c r="F234" s="21" t="str">
        <f>HYPERLINK("http://loudounnow.com/2017/06/30/a-slew-of-new-state-laws-go-into-effect-saturday/","Source")</f>
        <v>Source</v>
      </c>
      <c r="G234" s="1"/>
      <c r="H234" s="8" t="s">
        <v>81</v>
      </c>
      <c r="I234" s="3"/>
      <c r="J234" s="3"/>
      <c r="K234" s="3"/>
      <c r="L234" s="3"/>
      <c r="M234" s="3"/>
      <c r="N234" s="3"/>
      <c r="O234" s="3"/>
      <c r="P234" s="3"/>
      <c r="Q234" s="3"/>
      <c r="R234" s="3">
        <v>1</v>
      </c>
      <c r="S234" s="3"/>
      <c r="T234" s="3"/>
      <c r="U234" s="3"/>
      <c r="V234" s="3"/>
      <c r="W234" s="3"/>
      <c r="X234" s="3"/>
      <c r="Y234" s="3"/>
      <c r="Z234" s="3"/>
      <c r="AA234" s="3"/>
      <c r="AB234" s="3"/>
      <c r="AC234" s="3"/>
      <c r="AD234" s="3"/>
      <c r="AE234" s="3"/>
      <c r="AF234" s="3"/>
    </row>
    <row r="235" spans="1:32" ht="60" x14ac:dyDescent="0.2">
      <c r="A235" s="29" t="s">
        <v>45</v>
      </c>
      <c r="B235" s="26" t="s">
        <v>72</v>
      </c>
      <c r="C235" s="27">
        <v>42797</v>
      </c>
      <c r="D235" s="28" t="str">
        <f>HYPERLINK("http://lis.virginia.gov/cgi-bin/legp604.exe?171+sum+HB2106","HB2106")</f>
        <v>HB2106</v>
      </c>
      <c r="E235" s="26" t="s">
        <v>208</v>
      </c>
      <c r="F235" s="1"/>
      <c r="G235" s="1" t="s">
        <v>128</v>
      </c>
      <c r="H235" s="8" t="s">
        <v>80</v>
      </c>
      <c r="I235" s="3"/>
      <c r="J235" s="3">
        <v>1</v>
      </c>
      <c r="K235" s="3"/>
      <c r="L235" s="3">
        <v>1</v>
      </c>
      <c r="M235" s="3"/>
      <c r="N235" s="3"/>
      <c r="O235" s="3"/>
      <c r="P235" s="3"/>
      <c r="Q235" s="3"/>
      <c r="R235" s="3"/>
      <c r="S235" s="3"/>
      <c r="T235" s="3">
        <v>1</v>
      </c>
      <c r="U235" s="3"/>
      <c r="V235" s="3"/>
      <c r="W235" s="3"/>
      <c r="X235" s="3"/>
      <c r="Y235" s="3"/>
      <c r="Z235" s="3"/>
      <c r="AA235" s="3"/>
      <c r="AB235" s="3"/>
      <c r="AC235" s="3"/>
      <c r="AD235" s="3"/>
      <c r="AE235" s="3"/>
      <c r="AF235" s="3"/>
    </row>
    <row r="236" spans="1:32" ht="288" x14ac:dyDescent="0.2">
      <c r="A236" s="29" t="s">
        <v>46</v>
      </c>
      <c r="B236" s="26" t="s">
        <v>74</v>
      </c>
      <c r="C236" s="27">
        <v>42922</v>
      </c>
      <c r="D236" s="28" t="str">
        <f>HYPERLINK("http://app.leg.wa.gov/billsummary?BillNumber=2242&amp;Year=2017","HB 2242")</f>
        <v>HB 2242</v>
      </c>
      <c r="E236" s="26" t="s">
        <v>345</v>
      </c>
      <c r="F236" s="21" t="str">
        <f>HYPERLINK("http://www.krem.com/news/local/education-bill-adds-73-billion-to-washington-pulic-schools/453503796","Source")</f>
        <v>Source</v>
      </c>
      <c r="G236" s="1"/>
      <c r="H236" s="8" t="s">
        <v>73</v>
      </c>
      <c r="I236" s="3">
        <v>1</v>
      </c>
      <c r="J236" s="3"/>
      <c r="K236" s="3"/>
      <c r="L236" s="3"/>
      <c r="M236" s="13">
        <v>1</v>
      </c>
      <c r="N236" s="3"/>
      <c r="O236" s="3">
        <v>1</v>
      </c>
      <c r="P236" s="3"/>
      <c r="Q236" s="3"/>
      <c r="R236" s="3">
        <v>1</v>
      </c>
      <c r="S236" s="3"/>
      <c r="T236" s="3"/>
      <c r="U236" s="3"/>
      <c r="V236" s="3"/>
      <c r="W236" s="3"/>
      <c r="X236" s="3"/>
      <c r="Y236" s="3"/>
      <c r="Z236" s="5"/>
      <c r="AA236" s="5"/>
      <c r="AB236" s="5"/>
      <c r="AC236" s="5"/>
      <c r="AD236" s="5"/>
      <c r="AE236" s="5"/>
      <c r="AF236" s="5"/>
    </row>
    <row r="237" spans="1:32" ht="24" x14ac:dyDescent="0.2">
      <c r="A237" s="29" t="s">
        <v>46</v>
      </c>
      <c r="B237" s="26" t="s">
        <v>114</v>
      </c>
      <c r="C237" s="27"/>
      <c r="D237" s="28" t="str">
        <f>HYPERLINK("http://www.k12.wa.us/ESEA/ESSA/pubdocs/ESSAConsolidatedPlan-Submitted.pdf","WA's ESSA plan")</f>
        <v>WA's ESSA plan</v>
      </c>
      <c r="E237" s="26" t="s">
        <v>209</v>
      </c>
      <c r="F237" s="1"/>
      <c r="G237" s="1" t="s">
        <v>86</v>
      </c>
      <c r="H237" s="8" t="s">
        <v>73</v>
      </c>
      <c r="I237" s="3"/>
      <c r="J237" s="3"/>
      <c r="K237" s="3">
        <v>1</v>
      </c>
      <c r="L237" s="3"/>
      <c r="M237" s="3"/>
      <c r="N237" s="3">
        <v>1</v>
      </c>
      <c r="O237" s="3"/>
      <c r="P237" s="3"/>
      <c r="Q237" s="3"/>
      <c r="R237" s="3"/>
      <c r="S237" s="3"/>
      <c r="T237" s="3"/>
      <c r="U237" s="3"/>
      <c r="V237" s="3"/>
      <c r="W237" s="3"/>
      <c r="X237" s="3"/>
      <c r="Y237" s="3"/>
      <c r="Z237" s="5"/>
      <c r="AA237" s="5"/>
      <c r="AB237" s="5"/>
      <c r="AC237" s="5"/>
      <c r="AD237" s="5"/>
      <c r="AE237" s="5"/>
      <c r="AF237" s="5"/>
    </row>
    <row r="238" spans="1:32" ht="96" x14ac:dyDescent="0.2">
      <c r="A238" s="29" t="s">
        <v>46</v>
      </c>
      <c r="B238" s="26" t="s">
        <v>96</v>
      </c>
      <c r="C238" s="27"/>
      <c r="D238" s="28" t="str">
        <f>HYPERLINK("https://medium.com/wagovernor/inslee-awards-6-4-129c4de96df3","Career Connect Washington")</f>
        <v>Career Connect Washington</v>
      </c>
      <c r="E238" s="26" t="s">
        <v>346</v>
      </c>
      <c r="F238" s="1"/>
      <c r="G238" s="1" t="s">
        <v>128</v>
      </c>
      <c r="H238" s="8" t="s">
        <v>121</v>
      </c>
      <c r="I238" s="3">
        <v>1</v>
      </c>
      <c r="J238" s="3">
        <v>1</v>
      </c>
      <c r="K238" s="3"/>
      <c r="L238" s="3"/>
      <c r="M238" s="3"/>
      <c r="N238" s="3"/>
      <c r="O238" s="3"/>
      <c r="P238" s="3"/>
      <c r="Q238" s="3"/>
      <c r="R238" s="3"/>
      <c r="S238" s="3"/>
      <c r="T238" s="3"/>
      <c r="U238" s="3"/>
      <c r="V238" s="3"/>
      <c r="W238" s="3"/>
      <c r="X238" s="3"/>
      <c r="Y238" s="3">
        <v>1</v>
      </c>
      <c r="Z238" s="3"/>
      <c r="AA238" s="3"/>
      <c r="AB238" s="3"/>
      <c r="AC238" s="3"/>
      <c r="AD238" s="3"/>
      <c r="AE238" s="3"/>
      <c r="AF238" s="3"/>
    </row>
    <row r="239" spans="1:32" ht="24" x14ac:dyDescent="0.2">
      <c r="A239" s="29" t="s">
        <v>46</v>
      </c>
      <c r="B239" s="26" t="s">
        <v>72</v>
      </c>
      <c r="C239" s="27">
        <v>42850</v>
      </c>
      <c r="D239" s="28" t="str">
        <f>HYPERLINK("http://app.leg.wa.gov/billsummary?BillNumber=5069&amp;Year=2017","SB5069")</f>
        <v>SB5069</v>
      </c>
      <c r="E239" s="26" t="s">
        <v>343</v>
      </c>
      <c r="F239" s="21" t="str">
        <f>HYPERLINK("http://www.heraldnet.com/news/new-law-helps-inmates-earn-workforce-type-college-degrees/","Source")</f>
        <v>Source</v>
      </c>
      <c r="G239" s="1"/>
      <c r="H239" s="8" t="s">
        <v>76</v>
      </c>
      <c r="I239" s="3">
        <v>1</v>
      </c>
      <c r="J239" s="3"/>
      <c r="K239" s="3"/>
      <c r="L239" s="3"/>
      <c r="M239" s="3"/>
      <c r="N239" s="3"/>
      <c r="O239" s="3"/>
      <c r="P239" s="3"/>
      <c r="Q239" s="3"/>
      <c r="R239" s="3"/>
      <c r="S239" s="3"/>
      <c r="T239" s="3"/>
      <c r="U239" s="3"/>
      <c r="V239" s="3"/>
      <c r="W239" s="3"/>
      <c r="X239" s="3"/>
      <c r="Y239" s="3">
        <v>1</v>
      </c>
      <c r="Z239" s="3"/>
      <c r="AA239" s="3"/>
      <c r="AB239" s="3"/>
      <c r="AC239" s="3"/>
      <c r="AD239" s="3"/>
      <c r="AE239" s="3"/>
      <c r="AF239" s="3"/>
    </row>
    <row r="240" spans="1:32" ht="120" x14ac:dyDescent="0.2">
      <c r="A240" s="29" t="s">
        <v>46</v>
      </c>
      <c r="B240" s="26" t="s">
        <v>72</v>
      </c>
      <c r="C240" s="27">
        <v>42923</v>
      </c>
      <c r="D240" s="28" t="str">
        <f>HYPERLINK("http://app.leg.wa.gov/billsummary?BillNumber=2224&amp;Year=2017","HB2224")</f>
        <v>HB2224</v>
      </c>
      <c r="E240" s="26" t="s">
        <v>344</v>
      </c>
      <c r="F240" s="21" t="str">
        <f>HYPERLINK("http://www.washingtontimes.com/news/2017/jul/9/biology-test-no-longer-required-for-high-school-di/","Source")</f>
        <v>Source</v>
      </c>
      <c r="G240" s="1"/>
      <c r="H240" s="8" t="s">
        <v>73</v>
      </c>
      <c r="I240" s="3"/>
      <c r="J240" s="3"/>
      <c r="K240" s="3">
        <v>1</v>
      </c>
      <c r="L240" s="3"/>
      <c r="M240" s="3">
        <v>1</v>
      </c>
      <c r="N240" s="3"/>
      <c r="O240" s="3"/>
      <c r="P240" s="3"/>
      <c r="Q240" s="3"/>
      <c r="R240" s="3"/>
      <c r="S240" s="3">
        <v>1</v>
      </c>
      <c r="T240" s="3"/>
      <c r="U240" s="3"/>
      <c r="V240" s="3"/>
      <c r="W240" s="3"/>
      <c r="X240" s="3"/>
      <c r="Y240" s="3"/>
      <c r="Z240" s="3"/>
      <c r="AA240" s="3"/>
      <c r="AB240" s="3"/>
      <c r="AC240" s="3"/>
      <c r="AD240" s="3"/>
      <c r="AE240" s="3"/>
      <c r="AF240" s="3"/>
    </row>
    <row r="241" spans="1:32" ht="96" x14ac:dyDescent="0.2">
      <c r="A241" s="29" t="s">
        <v>47</v>
      </c>
      <c r="B241" s="26" t="s">
        <v>114</v>
      </c>
      <c r="C241" s="26"/>
      <c r="D241" s="32" t="str">
        <f>HYPERLINK("https://wvde.state.wv.us/boe-minutes/","Policy 2520.14 ")</f>
        <v xml:space="preserve">Policy 2520.14 </v>
      </c>
      <c r="E241" s="26" t="s">
        <v>347</v>
      </c>
      <c r="F241" s="9" t="str">
        <f>HYPERLINK("https://stateboardinsight.nasbe.org/search-results/college-and-career/2017/all/all/html/","Source")</f>
        <v>Source</v>
      </c>
      <c r="G241" s="5"/>
      <c r="H241" s="8" t="s">
        <v>73</v>
      </c>
      <c r="I241" s="5"/>
      <c r="J241" s="5"/>
      <c r="K241" s="5"/>
      <c r="L241" s="5"/>
      <c r="M241" s="5">
        <v>1</v>
      </c>
      <c r="N241" s="5"/>
      <c r="O241" s="5"/>
      <c r="P241" s="5">
        <v>1</v>
      </c>
      <c r="Q241" s="5"/>
      <c r="R241" s="5"/>
      <c r="S241" s="5"/>
      <c r="T241" s="5"/>
      <c r="U241" s="5"/>
      <c r="V241" s="5"/>
      <c r="W241" s="5"/>
      <c r="X241" s="5"/>
      <c r="Y241" s="5"/>
      <c r="Z241" s="5"/>
      <c r="AA241" s="5"/>
      <c r="AB241" s="5"/>
      <c r="AC241" s="5"/>
      <c r="AD241" s="5"/>
      <c r="AE241" s="5"/>
      <c r="AF241" s="5"/>
    </row>
    <row r="242" spans="1:32" ht="24" x14ac:dyDescent="0.2">
      <c r="A242" s="29" t="s">
        <v>47</v>
      </c>
      <c r="B242" s="26" t="s">
        <v>114</v>
      </c>
      <c r="C242" s="26"/>
      <c r="D242" s="32" t="str">
        <f>HYPERLINK("https://wvde.state.wv.us/essa/WV_consolidatedStateplan.pdf","WV's ESSA plan")</f>
        <v>WV's ESSA plan</v>
      </c>
      <c r="E242" s="26" t="s">
        <v>210</v>
      </c>
      <c r="F242" s="5"/>
      <c r="G242" s="5" t="s">
        <v>86</v>
      </c>
      <c r="H242" s="8" t="s">
        <v>73</v>
      </c>
      <c r="I242" s="5"/>
      <c r="J242" s="5"/>
      <c r="K242" s="5">
        <v>1</v>
      </c>
      <c r="L242" s="5"/>
      <c r="M242" s="5"/>
      <c r="N242" s="5">
        <v>1</v>
      </c>
      <c r="O242" s="5"/>
      <c r="P242" s="5"/>
      <c r="Q242" s="5"/>
      <c r="R242" s="5"/>
      <c r="S242" s="5"/>
      <c r="T242" s="5"/>
      <c r="U242" s="5"/>
      <c r="V242" s="5"/>
      <c r="W242" s="5"/>
      <c r="X242" s="5"/>
      <c r="Y242" s="5"/>
      <c r="Z242" s="5"/>
      <c r="AA242" s="5"/>
      <c r="AB242" s="5"/>
      <c r="AC242" s="5"/>
      <c r="AD242" s="5"/>
      <c r="AE242" s="5"/>
      <c r="AF242" s="5"/>
    </row>
    <row r="243" spans="1:32" ht="36" x14ac:dyDescent="0.2">
      <c r="A243" s="29" t="s">
        <v>47</v>
      </c>
      <c r="B243" s="26" t="s">
        <v>72</v>
      </c>
      <c r="C243" s="27">
        <v>42878</v>
      </c>
      <c r="D243" s="28" t="str">
        <f>HYPERLINK("http://www.legis.state.wv.us/Bill_Status/Bills_history.cfm?input=2555&amp;year=2017&amp;sessiontype=RS&amp;btype=bill","HB2555")</f>
        <v>HB2555</v>
      </c>
      <c r="E243" s="26" t="s">
        <v>211</v>
      </c>
      <c r="F243" s="21" t="str">
        <f>HYPERLINK("http://www.nationalskillscoalition.org/resources/publications/file/2017-Legislative-Roundup.pdf","Source")</f>
        <v>Source</v>
      </c>
      <c r="G243" s="1"/>
      <c r="H243" s="8" t="s">
        <v>80</v>
      </c>
      <c r="I243" s="3">
        <v>1</v>
      </c>
      <c r="J243" s="3">
        <v>1</v>
      </c>
      <c r="K243" s="3"/>
      <c r="L243" s="3"/>
      <c r="M243" s="3"/>
      <c r="N243" s="3"/>
      <c r="O243" s="3"/>
      <c r="P243" s="3"/>
      <c r="Q243" s="3"/>
      <c r="R243" s="3"/>
      <c r="S243" s="3"/>
      <c r="T243" s="3"/>
      <c r="U243" s="3"/>
      <c r="V243" s="3"/>
      <c r="W243" s="3"/>
      <c r="X243" s="3"/>
      <c r="Y243" s="3"/>
      <c r="Z243" s="5"/>
      <c r="AA243" s="5"/>
      <c r="AB243" s="5"/>
      <c r="AC243" s="5"/>
      <c r="AD243" s="5"/>
      <c r="AE243" s="5"/>
      <c r="AF243" s="5"/>
    </row>
    <row r="244" spans="1:32" ht="264" x14ac:dyDescent="0.2">
      <c r="A244" s="29" t="s">
        <v>48</v>
      </c>
      <c r="B244" s="26" t="s">
        <v>74</v>
      </c>
      <c r="C244" s="26"/>
      <c r="D244" s="32" t="str">
        <f>HYPERLINK("http://doa.wi.gov/Divisions/Budget-And-Finance/State-Budget-Office","Budget")</f>
        <v>Budget</v>
      </c>
      <c r="E244" s="26" t="s">
        <v>348</v>
      </c>
      <c r="F244" s="9" t="str">
        <f>HYPERLINK("http://host.madison.com/ct/news/local/education/university/uw-system-seeks-million-to-cut-student-costs-develop-workforce/article_33407729-5954-53d0-b1d3-22b3b6a42950.html","Source")</f>
        <v>Source</v>
      </c>
      <c r="G244" s="5"/>
      <c r="H244" s="8" t="s">
        <v>75</v>
      </c>
      <c r="I244" s="5">
        <v>1</v>
      </c>
      <c r="J244" s="5">
        <v>1</v>
      </c>
      <c r="K244" s="5">
        <v>1</v>
      </c>
      <c r="L244" s="5">
        <v>1</v>
      </c>
      <c r="M244" s="5"/>
      <c r="N244" s="5">
        <v>1</v>
      </c>
      <c r="O244" s="5"/>
      <c r="P244" s="5"/>
      <c r="Q244" s="5"/>
      <c r="R244" s="5">
        <v>1</v>
      </c>
      <c r="S244" s="5"/>
      <c r="T244" s="5"/>
      <c r="U244" s="5"/>
      <c r="V244" s="5">
        <v>1</v>
      </c>
      <c r="W244" s="5"/>
      <c r="X244" s="5"/>
      <c r="Y244" s="5">
        <v>1</v>
      </c>
      <c r="Z244" s="3"/>
      <c r="AA244" s="3"/>
      <c r="AB244" s="3"/>
      <c r="AC244" s="3"/>
      <c r="AD244" s="3"/>
      <c r="AE244" s="3"/>
      <c r="AF244" s="3"/>
    </row>
    <row r="245" spans="1:32" ht="48" x14ac:dyDescent="0.2">
      <c r="A245" s="29" t="s">
        <v>48</v>
      </c>
      <c r="B245" s="26" t="s">
        <v>385</v>
      </c>
      <c r="C245" s="40">
        <v>42887</v>
      </c>
      <c r="D245" s="28" t="str">
        <f>HYPERLINK("https://dpi.wi.gov/computer-science","Computer Science Standards")</f>
        <v>Computer Science Standards</v>
      </c>
      <c r="E245" s="26" t="s">
        <v>212</v>
      </c>
      <c r="F245" s="21" t="str">
        <f>HYPERLINK("http://www.chiltontimesjournal.com/2017/01/14/state-to-set-computer-science-standards/","Source")</f>
        <v>Source</v>
      </c>
      <c r="G245" s="1"/>
      <c r="H245" s="8" t="s">
        <v>73</v>
      </c>
      <c r="I245" s="3"/>
      <c r="J245" s="3"/>
      <c r="K245" s="3"/>
      <c r="L245" s="3"/>
      <c r="M245" s="3"/>
      <c r="N245" s="3"/>
      <c r="O245" s="3"/>
      <c r="P245" s="3">
        <v>1</v>
      </c>
      <c r="Q245" s="3"/>
      <c r="R245" s="3"/>
      <c r="S245" s="3"/>
      <c r="T245" s="3"/>
      <c r="U245" s="3"/>
      <c r="V245" s="3"/>
      <c r="W245" s="3"/>
      <c r="X245" s="3"/>
      <c r="Y245" s="3"/>
      <c r="Z245" s="3"/>
      <c r="AA245" s="3"/>
      <c r="AB245" s="3"/>
      <c r="AC245" s="3"/>
      <c r="AD245" s="3"/>
      <c r="AE245" s="3"/>
      <c r="AF245" s="3"/>
    </row>
    <row r="246" spans="1:32" ht="24" x14ac:dyDescent="0.2">
      <c r="A246" s="29" t="s">
        <v>49</v>
      </c>
      <c r="B246" s="26" t="s">
        <v>140</v>
      </c>
      <c r="C246" s="26"/>
      <c r="D246" s="26"/>
      <c r="E246" s="26" t="s">
        <v>213</v>
      </c>
      <c r="F246" s="1"/>
      <c r="G246" s="1"/>
      <c r="H246" s="8" t="s">
        <v>76</v>
      </c>
      <c r="I246" s="3"/>
      <c r="J246" s="3"/>
      <c r="K246" s="3"/>
      <c r="L246" s="3"/>
      <c r="M246" s="3"/>
      <c r="N246" s="3"/>
      <c r="O246" s="3"/>
      <c r="P246" s="3"/>
      <c r="Q246" s="3"/>
      <c r="R246" s="3">
        <v>1</v>
      </c>
      <c r="S246" s="3"/>
      <c r="T246" s="3"/>
      <c r="U246" s="3"/>
      <c r="V246" s="3"/>
      <c r="W246" s="3"/>
      <c r="X246" s="3"/>
      <c r="Y246" s="3"/>
      <c r="Z246" s="3"/>
      <c r="AA246" s="3"/>
      <c r="AB246" s="3"/>
      <c r="AC246" s="3"/>
      <c r="AD246" s="3"/>
      <c r="AE246" s="3"/>
      <c r="AF246" s="3"/>
    </row>
    <row r="247" spans="1:32" ht="24" x14ac:dyDescent="0.2">
      <c r="A247" s="29" t="s">
        <v>49</v>
      </c>
      <c r="B247" s="26" t="s">
        <v>114</v>
      </c>
      <c r="C247" s="26"/>
      <c r="D247" s="28" t="str">
        <f>HYPERLINK("http://edu.wyoming.gov/downloads/accountability/ESSAFinal.pdf","WY's ESSA plan")</f>
        <v>WY's ESSA plan</v>
      </c>
      <c r="E247" s="26" t="s">
        <v>214</v>
      </c>
      <c r="F247" s="1"/>
      <c r="G247" s="1" t="s">
        <v>86</v>
      </c>
      <c r="H247" s="8" t="s">
        <v>73</v>
      </c>
      <c r="I247" s="3"/>
      <c r="J247" s="3"/>
      <c r="K247" s="3">
        <v>1</v>
      </c>
      <c r="L247" s="3">
        <v>1</v>
      </c>
      <c r="M247" s="3"/>
      <c r="N247" s="3">
        <v>1</v>
      </c>
      <c r="O247" s="3"/>
      <c r="P247" s="3"/>
      <c r="Q247" s="3">
        <v>1</v>
      </c>
      <c r="R247" s="3"/>
      <c r="S247" s="3"/>
      <c r="T247" s="3"/>
      <c r="U247" s="3"/>
      <c r="V247" s="3"/>
      <c r="W247" s="3"/>
      <c r="X247" s="3"/>
      <c r="Y247" s="3"/>
      <c r="Z247" s="3"/>
      <c r="AA247" s="3"/>
      <c r="AB247" s="3"/>
      <c r="AC247" s="3"/>
      <c r="AD247" s="3"/>
      <c r="AE247" s="3"/>
      <c r="AF247" s="3"/>
    </row>
    <row r="248" spans="1:32" s="15" customFormat="1" ht="12.75" x14ac:dyDescent="0.2">
      <c r="A248" s="46"/>
      <c r="B248" s="41"/>
      <c r="C248" s="41"/>
      <c r="D248" s="41"/>
      <c r="E248" s="41"/>
      <c r="F248" s="24"/>
      <c r="G248" s="24"/>
      <c r="H248" s="47"/>
      <c r="I248" s="20">
        <f>SUBTOTAL(109,Table1[Funding])</f>
        <v>95</v>
      </c>
      <c r="J248" s="20">
        <f>SUBTOTAL(109,Table1[Industry Partnerships/Work-based Learning])</f>
        <v>61</v>
      </c>
      <c r="K248" s="20">
        <f>SUBTOTAL(109,Table1[Dual/Concurrent Enrollment, and Articulation/Early College])</f>
        <v>65</v>
      </c>
      <c r="L248" s="20">
        <f>SUBTOTAL(109,Table1[Industry- recognized Credentials])</f>
        <v>70</v>
      </c>
      <c r="M248" s="20">
        <f>SUBTOTAL(109,Table1[Graduation Requirements])</f>
        <v>34</v>
      </c>
      <c r="N248" s="20">
        <f>SUBTOTAL(109,Table1[Data, Reporting and/or 
Accountability])</f>
        <v>72</v>
      </c>
      <c r="O248" s="20">
        <f>SUBTOTAL(109,Table1[STEM])</f>
        <v>25</v>
      </c>
      <c r="P248" s="20">
        <f>SUBTOTAL(109,Table1[CTE Standards/
Accreditation])</f>
        <v>12</v>
      </c>
      <c r="Q248" s="20">
        <f>SUBTOTAL(109,Table1[Technical/
Employability Assessments])</f>
        <v>18</v>
      </c>
      <c r="R248" s="20">
        <f>SUBTOTAL(109,Table1[CTE Teacher Certification/Development])</f>
        <v>27</v>
      </c>
      <c r="S248" s="20">
        <f>SUBTOTAL(109,Table1[Career/Academic Counseling])</f>
        <v>29</v>
      </c>
      <c r="T248" s="20">
        <f>SUBTOTAL(109,Table1[Governance])</f>
        <v>41</v>
      </c>
      <c r="U248" s="20">
        <f>SUBTOTAL(109,Table1[Scheduling/
Extended Learning])</f>
        <v>0</v>
      </c>
      <c r="V248" s="20">
        <f>SUBTOTAL(109,Table1[Prior Learning/
Competency-based Education])</f>
        <v>12</v>
      </c>
      <c r="W248" s="20">
        <f>SUBTOTAL(109,Table1[CTSO/
Leadership Development])</f>
        <v>3</v>
      </c>
      <c r="X248" s="20">
        <f>SUBTOTAL(109,Table1[Applied Bachelor’s Degrees])</f>
        <v>1</v>
      </c>
      <c r="Y248" s="20">
        <f>SUBTOTAL(109,Table1[Access/ Equity])</f>
        <v>26</v>
      </c>
      <c r="Z248" s="14"/>
      <c r="AA248" s="14"/>
      <c r="AB248" s="14"/>
      <c r="AC248" s="14"/>
      <c r="AD248" s="14"/>
      <c r="AE248" s="14"/>
      <c r="AF248" s="14"/>
    </row>
    <row r="249" spans="1:32" ht="12.75" x14ac:dyDescent="0.2">
      <c r="A249" s="29"/>
      <c r="B249" s="26"/>
      <c r="C249" s="26"/>
      <c r="D249" s="26"/>
      <c r="E249" s="26"/>
      <c r="F249" s="1"/>
      <c r="G249" s="1"/>
      <c r="H249" s="1"/>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2.75" x14ac:dyDescent="0.2">
      <c r="A250" s="29"/>
      <c r="B250" s="26"/>
      <c r="C250" s="26"/>
      <c r="D250" s="26"/>
      <c r="E250" s="26"/>
      <c r="F250" s="1"/>
      <c r="G250" s="1"/>
      <c r="H250" s="1"/>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2.75" x14ac:dyDescent="0.2">
      <c r="A251" s="29"/>
      <c r="B251" s="26"/>
      <c r="C251" s="26"/>
      <c r="D251" s="26"/>
      <c r="E251" s="26"/>
      <c r="F251" s="1"/>
      <c r="H251" s="1"/>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2.75" x14ac:dyDescent="0.2">
      <c r="A252" s="29"/>
      <c r="B252" s="26"/>
      <c r="C252" s="26"/>
      <c r="D252" s="26"/>
      <c r="E252" s="26"/>
      <c r="F252" s="1"/>
      <c r="G252" s="1"/>
      <c r="H252" s="1"/>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2.75" x14ac:dyDescent="0.2">
      <c r="A253" s="29"/>
      <c r="B253" s="26"/>
      <c r="C253" s="26"/>
      <c r="D253" s="26"/>
      <c r="E253" s="26"/>
      <c r="F253" s="1"/>
      <c r="G253" s="1"/>
      <c r="H253" s="1"/>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2.75" x14ac:dyDescent="0.2">
      <c r="A254" s="29"/>
      <c r="B254" s="26"/>
      <c r="C254" s="26"/>
      <c r="D254" s="26"/>
      <c r="E254" s="26"/>
      <c r="F254" s="1"/>
      <c r="G254" s="1"/>
      <c r="H254" s="1"/>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2.75" x14ac:dyDescent="0.2">
      <c r="A255" s="29"/>
      <c r="B255" s="26"/>
      <c r="C255" s="26"/>
      <c r="D255" s="26"/>
      <c r="E255" s="26"/>
      <c r="F255" s="1"/>
      <c r="G255" s="1"/>
      <c r="H255" s="1"/>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2.75" x14ac:dyDescent="0.2">
      <c r="A256" s="29"/>
      <c r="B256" s="26"/>
      <c r="C256" s="26"/>
      <c r="D256" s="26"/>
      <c r="E256" s="26"/>
      <c r="F256" s="1"/>
      <c r="G256" s="1"/>
      <c r="H256" s="1"/>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2.75" x14ac:dyDescent="0.2">
      <c r="A257" s="29"/>
      <c r="B257" s="26"/>
      <c r="C257" s="26"/>
      <c r="D257" s="26"/>
      <c r="E257" s="26"/>
      <c r="F257" s="1"/>
      <c r="G257" s="1"/>
      <c r="H257" s="1"/>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2.75" x14ac:dyDescent="0.2">
      <c r="A258" s="29"/>
      <c r="B258" s="26"/>
      <c r="C258" s="26"/>
      <c r="D258" s="26"/>
      <c r="E258" s="26"/>
      <c r="F258" s="1"/>
      <c r="G258" s="1"/>
      <c r="H258" s="1"/>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2.75" x14ac:dyDescent="0.2">
      <c r="A259" s="29"/>
      <c r="B259" s="26"/>
      <c r="C259" s="26"/>
      <c r="D259" s="26"/>
      <c r="E259" s="26"/>
      <c r="F259" s="1"/>
      <c r="G259" s="1"/>
      <c r="H259" s="1"/>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2.75" x14ac:dyDescent="0.2">
      <c r="A260" s="29"/>
      <c r="B260" s="26"/>
      <c r="C260" s="26"/>
      <c r="D260" s="26"/>
      <c r="E260" s="26"/>
      <c r="F260" s="1"/>
      <c r="G260" s="1"/>
      <c r="H260" s="1"/>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2.75" x14ac:dyDescent="0.2">
      <c r="A261" s="29"/>
      <c r="B261" s="26"/>
      <c r="C261" s="26"/>
      <c r="D261" s="26"/>
      <c r="E261" s="26"/>
      <c r="F261" s="1"/>
      <c r="G261" s="1"/>
      <c r="H261" s="1"/>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2.75" x14ac:dyDescent="0.2">
      <c r="A262" s="29"/>
      <c r="B262" s="26"/>
      <c r="C262" s="26"/>
      <c r="D262" s="26"/>
      <c r="E262" s="26"/>
      <c r="F262" s="1"/>
      <c r="G262" s="1"/>
      <c r="H262" s="1"/>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2.75" x14ac:dyDescent="0.2">
      <c r="A263" s="29"/>
      <c r="B263" s="26"/>
      <c r="C263" s="26"/>
      <c r="D263" s="26"/>
      <c r="E263" s="26"/>
      <c r="F263" s="1"/>
      <c r="G263" s="1"/>
      <c r="H263" s="1"/>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2.75" x14ac:dyDescent="0.2">
      <c r="A264" s="29"/>
      <c r="B264" s="26"/>
      <c r="C264" s="26"/>
      <c r="D264" s="26"/>
      <c r="E264" s="26"/>
      <c r="F264" s="1"/>
      <c r="G264" s="1"/>
      <c r="H264" s="1"/>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2.75" x14ac:dyDescent="0.2">
      <c r="A265" s="29"/>
      <c r="B265" s="26"/>
      <c r="C265" s="26"/>
      <c r="D265" s="26"/>
      <c r="E265" s="26"/>
      <c r="F265" s="1"/>
      <c r="G265" s="1"/>
      <c r="H265" s="1"/>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2.75" x14ac:dyDescent="0.2">
      <c r="A266" s="29"/>
      <c r="B266" s="26"/>
      <c r="C266" s="26"/>
      <c r="D266" s="26"/>
      <c r="E266" s="26"/>
      <c r="F266" s="1"/>
      <c r="G266" s="1"/>
      <c r="H266" s="1"/>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2.75" x14ac:dyDescent="0.2">
      <c r="A267" s="29"/>
      <c r="B267" s="26"/>
      <c r="C267" s="26"/>
      <c r="D267" s="26"/>
      <c r="E267" s="26"/>
      <c r="F267" s="1"/>
      <c r="G267" s="1"/>
      <c r="H267" s="1"/>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2.75" x14ac:dyDescent="0.2">
      <c r="A268" s="29"/>
      <c r="B268" s="26"/>
      <c r="C268" s="26"/>
      <c r="D268" s="26"/>
      <c r="E268" s="26"/>
      <c r="F268" s="1"/>
      <c r="G268" s="1"/>
      <c r="H268" s="1"/>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2.75" x14ac:dyDescent="0.2">
      <c r="A269" s="29"/>
      <c r="B269" s="26"/>
      <c r="C269" s="26"/>
      <c r="D269" s="26"/>
      <c r="E269" s="26"/>
      <c r="F269" s="1"/>
      <c r="G269" s="1"/>
      <c r="H269" s="1"/>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2.75" x14ac:dyDescent="0.2">
      <c r="A270" s="29"/>
      <c r="B270" s="26"/>
      <c r="C270" s="26"/>
      <c r="D270" s="26"/>
      <c r="E270" s="26"/>
      <c r="F270" s="1"/>
      <c r="G270" s="1"/>
      <c r="H270" s="1"/>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2.75" x14ac:dyDescent="0.2">
      <c r="A271" s="29"/>
      <c r="B271" s="26"/>
      <c r="C271" s="26"/>
      <c r="D271" s="26"/>
      <c r="E271" s="26"/>
      <c r="F271" s="1"/>
      <c r="G271" s="1"/>
      <c r="H271" s="1"/>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2.75" x14ac:dyDescent="0.2">
      <c r="A272" s="29"/>
      <c r="B272" s="26"/>
      <c r="C272" s="26"/>
      <c r="D272" s="26"/>
      <c r="E272" s="26"/>
      <c r="F272" s="1"/>
      <c r="G272" s="1"/>
      <c r="H272" s="1"/>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2.75" x14ac:dyDescent="0.2">
      <c r="A273" s="29"/>
      <c r="B273" s="26"/>
      <c r="C273" s="26"/>
      <c r="D273" s="26"/>
      <c r="E273" s="26"/>
      <c r="F273" s="1"/>
      <c r="G273" s="1"/>
      <c r="H273" s="1"/>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2.75" x14ac:dyDescent="0.2">
      <c r="A274" s="29"/>
      <c r="B274" s="26"/>
      <c r="C274" s="26"/>
      <c r="D274" s="26"/>
      <c r="E274" s="26"/>
      <c r="F274" s="1"/>
      <c r="G274" s="1"/>
      <c r="H274" s="1"/>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2.75" x14ac:dyDescent="0.2">
      <c r="A275" s="29"/>
      <c r="B275" s="26"/>
      <c r="C275" s="26"/>
      <c r="D275" s="26"/>
      <c r="E275" s="26"/>
      <c r="F275" s="1"/>
      <c r="G275" s="1"/>
      <c r="H275" s="1"/>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2.75" x14ac:dyDescent="0.2">
      <c r="A276" s="29"/>
      <c r="B276" s="26"/>
      <c r="C276" s="26"/>
      <c r="D276" s="26"/>
      <c r="E276" s="26"/>
      <c r="F276" s="1"/>
      <c r="G276" s="1"/>
      <c r="H276" s="1"/>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2.75" x14ac:dyDescent="0.2">
      <c r="A277" s="29"/>
      <c r="B277" s="26"/>
      <c r="C277" s="26"/>
      <c r="D277" s="26"/>
      <c r="E277" s="26"/>
      <c r="F277" s="1"/>
      <c r="G277" s="1"/>
      <c r="H277" s="1"/>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2.75" x14ac:dyDescent="0.2">
      <c r="A278" s="29"/>
      <c r="B278" s="26"/>
      <c r="C278" s="26"/>
      <c r="D278" s="26"/>
      <c r="E278" s="26"/>
      <c r="F278" s="1"/>
      <c r="G278" s="1"/>
      <c r="H278" s="1"/>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2.75" x14ac:dyDescent="0.2">
      <c r="A279" s="29"/>
      <c r="B279" s="26"/>
      <c r="C279" s="26"/>
      <c r="D279" s="26"/>
      <c r="E279" s="26"/>
      <c r="F279" s="1"/>
      <c r="G279" s="1"/>
      <c r="H279" s="1"/>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2.75" x14ac:dyDescent="0.2">
      <c r="A280" s="29"/>
      <c r="B280" s="26"/>
      <c r="C280" s="26"/>
      <c r="D280" s="26"/>
      <c r="E280" s="26"/>
      <c r="F280" s="1"/>
      <c r="G280" s="1"/>
      <c r="H280" s="1"/>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2.75" x14ac:dyDescent="0.2">
      <c r="A281" s="29"/>
      <c r="B281" s="26"/>
      <c r="C281" s="26"/>
      <c r="D281" s="26"/>
      <c r="E281" s="26"/>
      <c r="F281" s="1"/>
      <c r="G281" s="1"/>
      <c r="H281" s="1"/>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2.75" x14ac:dyDescent="0.2">
      <c r="A282" s="29"/>
      <c r="B282" s="26"/>
      <c r="C282" s="26"/>
      <c r="D282" s="26"/>
      <c r="E282" s="26"/>
      <c r="F282" s="1"/>
      <c r="G282" s="1"/>
      <c r="H282" s="1"/>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2.75" x14ac:dyDescent="0.2">
      <c r="A283" s="29"/>
      <c r="B283" s="26"/>
      <c r="C283" s="26"/>
      <c r="D283" s="26"/>
      <c r="E283" s="26"/>
      <c r="F283" s="1"/>
      <c r="G283" s="1"/>
      <c r="H283" s="1"/>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2.75" x14ac:dyDescent="0.2">
      <c r="A284" s="29"/>
      <c r="B284" s="26"/>
      <c r="C284" s="26"/>
      <c r="D284" s="26"/>
      <c r="E284" s="26"/>
      <c r="F284" s="1"/>
      <c r="G284" s="1"/>
      <c r="H284" s="1"/>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2.75" x14ac:dyDescent="0.2">
      <c r="A285" s="29"/>
      <c r="B285" s="26"/>
      <c r="C285" s="26"/>
      <c r="D285" s="26"/>
      <c r="E285" s="26"/>
      <c r="F285" s="1"/>
      <c r="G285" s="1"/>
      <c r="H285" s="1"/>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2.75" x14ac:dyDescent="0.2">
      <c r="A286" s="29"/>
      <c r="B286" s="26"/>
      <c r="C286" s="26"/>
      <c r="D286" s="26"/>
      <c r="E286" s="26"/>
      <c r="F286" s="1"/>
      <c r="G286" s="1"/>
      <c r="H286" s="1"/>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2.75" x14ac:dyDescent="0.2">
      <c r="A287" s="29"/>
      <c r="B287" s="26"/>
      <c r="C287" s="26"/>
      <c r="D287" s="26"/>
      <c r="E287" s="26"/>
      <c r="F287" s="1"/>
      <c r="G287" s="1"/>
      <c r="H287" s="1"/>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2.75" x14ac:dyDescent="0.2">
      <c r="A288" s="29"/>
      <c r="B288" s="26"/>
      <c r="C288" s="26"/>
      <c r="D288" s="26"/>
      <c r="E288" s="26"/>
      <c r="F288" s="1"/>
      <c r="G288" s="1"/>
      <c r="H288" s="1"/>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2.75" x14ac:dyDescent="0.2">
      <c r="A289" s="29"/>
      <c r="B289" s="26"/>
      <c r="C289" s="26"/>
      <c r="D289" s="26"/>
      <c r="E289" s="26"/>
      <c r="F289" s="1"/>
      <c r="G289" s="1"/>
      <c r="H289" s="1"/>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2.75" x14ac:dyDescent="0.2">
      <c r="A290" s="29"/>
      <c r="B290" s="26"/>
      <c r="C290" s="26"/>
      <c r="D290" s="26"/>
      <c r="E290" s="26"/>
      <c r="F290" s="1"/>
      <c r="G290" s="1"/>
      <c r="H290" s="1"/>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2.75" x14ac:dyDescent="0.2">
      <c r="A291" s="29"/>
      <c r="B291" s="26"/>
      <c r="C291" s="26"/>
      <c r="D291" s="26"/>
      <c r="E291" s="26"/>
      <c r="F291" s="1"/>
      <c r="G291" s="1"/>
      <c r="H291" s="1"/>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2.75" x14ac:dyDescent="0.2">
      <c r="A292" s="29"/>
      <c r="B292" s="26"/>
      <c r="C292" s="26"/>
      <c r="D292" s="26"/>
      <c r="E292" s="26"/>
      <c r="F292" s="1"/>
      <c r="G292" s="1"/>
      <c r="H292" s="1"/>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2.75" x14ac:dyDescent="0.2">
      <c r="A293" s="29"/>
      <c r="B293" s="26"/>
      <c r="C293" s="26"/>
      <c r="D293" s="26"/>
      <c r="E293" s="26"/>
      <c r="F293" s="1"/>
      <c r="G293" s="1"/>
      <c r="H293" s="1"/>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2.75" x14ac:dyDescent="0.2">
      <c r="A294" s="29"/>
      <c r="B294" s="26"/>
      <c r="C294" s="26"/>
      <c r="D294" s="26"/>
      <c r="E294" s="26"/>
      <c r="F294" s="1"/>
      <c r="G294" s="1"/>
      <c r="H294" s="1"/>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2.75" x14ac:dyDescent="0.2">
      <c r="A295" s="29"/>
      <c r="B295" s="26"/>
      <c r="C295" s="26"/>
      <c r="D295" s="26"/>
      <c r="E295" s="26"/>
      <c r="F295" s="1"/>
      <c r="G295" s="1"/>
      <c r="H295" s="1"/>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2.75" x14ac:dyDescent="0.2">
      <c r="A296" s="29"/>
      <c r="B296" s="26"/>
      <c r="C296" s="26"/>
      <c r="D296" s="26"/>
      <c r="E296" s="26"/>
      <c r="F296" s="1"/>
      <c r="G296" s="1"/>
      <c r="H296" s="1"/>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2.75" x14ac:dyDescent="0.2">
      <c r="A297" s="29"/>
      <c r="B297" s="26"/>
      <c r="C297" s="26"/>
      <c r="D297" s="26"/>
      <c r="E297" s="26"/>
      <c r="F297" s="1"/>
      <c r="G297" s="1"/>
      <c r="H297" s="1"/>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2.75" x14ac:dyDescent="0.2">
      <c r="A298" s="29"/>
      <c r="B298" s="26"/>
      <c r="C298" s="26"/>
      <c r="D298" s="26"/>
      <c r="E298" s="26"/>
      <c r="F298" s="1"/>
      <c r="G298" s="1"/>
      <c r="H298" s="1"/>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2.75" x14ac:dyDescent="0.2">
      <c r="A299" s="29"/>
      <c r="B299" s="26"/>
      <c r="C299" s="26"/>
      <c r="D299" s="26"/>
      <c r="E299" s="26"/>
      <c r="F299" s="1"/>
      <c r="G299" s="1"/>
      <c r="H299" s="1"/>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2.75" x14ac:dyDescent="0.2">
      <c r="A300" s="29"/>
      <c r="B300" s="26"/>
      <c r="C300" s="26"/>
      <c r="D300" s="26"/>
      <c r="E300" s="26"/>
      <c r="F300" s="1"/>
      <c r="G300" s="1"/>
      <c r="H300" s="1"/>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2.75" x14ac:dyDescent="0.2">
      <c r="A301" s="29"/>
      <c r="B301" s="26"/>
      <c r="C301" s="26"/>
      <c r="D301" s="26"/>
      <c r="E301" s="26"/>
      <c r="F301" s="1"/>
      <c r="G301" s="1"/>
      <c r="H301" s="1"/>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2.75" x14ac:dyDescent="0.2">
      <c r="A302" s="29"/>
      <c r="B302" s="26"/>
      <c r="C302" s="26"/>
      <c r="D302" s="26"/>
      <c r="E302" s="26"/>
      <c r="F302" s="1"/>
      <c r="G302" s="1"/>
      <c r="H302" s="1"/>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2.75" x14ac:dyDescent="0.2">
      <c r="A303" s="29"/>
      <c r="B303" s="26"/>
      <c r="C303" s="26"/>
      <c r="D303" s="26"/>
      <c r="E303" s="26"/>
      <c r="F303" s="1"/>
      <c r="G303" s="1"/>
      <c r="H303" s="1"/>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2.75" x14ac:dyDescent="0.2">
      <c r="A304" s="29"/>
      <c r="B304" s="26"/>
      <c r="C304" s="26"/>
      <c r="D304" s="26"/>
      <c r="E304" s="26"/>
      <c r="F304" s="1"/>
      <c r="G304" s="1"/>
      <c r="H304" s="1"/>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2.75" x14ac:dyDescent="0.2">
      <c r="A305" s="29"/>
      <c r="B305" s="26"/>
      <c r="C305" s="26"/>
      <c r="D305" s="26"/>
      <c r="E305" s="26"/>
      <c r="F305" s="1"/>
      <c r="G305" s="1"/>
      <c r="H305" s="1"/>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2.75" x14ac:dyDescent="0.2">
      <c r="A306" s="29"/>
      <c r="B306" s="26"/>
      <c r="C306" s="26"/>
      <c r="D306" s="26"/>
      <c r="E306" s="26"/>
      <c r="F306" s="1"/>
      <c r="G306" s="1"/>
      <c r="H306" s="1"/>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2.75" x14ac:dyDescent="0.2">
      <c r="A307" s="29"/>
      <c r="B307" s="26"/>
      <c r="C307" s="26"/>
      <c r="D307" s="26"/>
      <c r="E307" s="26"/>
      <c r="F307" s="1"/>
      <c r="G307" s="1"/>
      <c r="H307" s="1"/>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2.75" x14ac:dyDescent="0.2">
      <c r="A308" s="29"/>
      <c r="B308" s="26"/>
      <c r="C308" s="26"/>
      <c r="D308" s="26"/>
      <c r="E308" s="26"/>
      <c r="F308" s="1"/>
      <c r="G308" s="1"/>
      <c r="H308" s="1"/>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2.75" x14ac:dyDescent="0.2">
      <c r="A309" s="29"/>
      <c r="B309" s="26"/>
      <c r="C309" s="26"/>
      <c r="D309" s="26"/>
      <c r="E309" s="26"/>
      <c r="F309" s="1"/>
      <c r="G309" s="1"/>
      <c r="H309" s="1"/>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2.75" x14ac:dyDescent="0.2">
      <c r="A310" s="29"/>
      <c r="B310" s="26"/>
      <c r="C310" s="26"/>
      <c r="D310" s="26"/>
      <c r="E310" s="26"/>
      <c r="F310" s="1"/>
      <c r="G310" s="1"/>
      <c r="H310" s="1"/>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2.75" x14ac:dyDescent="0.2">
      <c r="A311" s="29"/>
      <c r="B311" s="26"/>
      <c r="C311" s="26"/>
      <c r="D311" s="26"/>
      <c r="E311" s="26"/>
      <c r="F311" s="1"/>
      <c r="G311" s="1"/>
      <c r="H311" s="1"/>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2.75" x14ac:dyDescent="0.2">
      <c r="A312" s="29"/>
      <c r="B312" s="26"/>
      <c r="C312" s="26"/>
      <c r="D312" s="26"/>
      <c r="E312" s="26"/>
      <c r="F312" s="1"/>
      <c r="G312" s="1"/>
      <c r="H312" s="1"/>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2.75" x14ac:dyDescent="0.2">
      <c r="A313" s="29"/>
      <c r="B313" s="26"/>
      <c r="C313" s="26"/>
      <c r="D313" s="26"/>
      <c r="E313" s="26"/>
      <c r="F313" s="1"/>
      <c r="G313" s="1"/>
      <c r="H313" s="1"/>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2.75" x14ac:dyDescent="0.2">
      <c r="A314" s="29"/>
      <c r="B314" s="26"/>
      <c r="C314" s="26"/>
      <c r="D314" s="26"/>
      <c r="E314" s="26"/>
      <c r="F314" s="1"/>
      <c r="G314" s="1"/>
      <c r="H314" s="1"/>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2.75" x14ac:dyDescent="0.2">
      <c r="A315" s="29"/>
      <c r="B315" s="26"/>
      <c r="C315" s="26"/>
      <c r="D315" s="26"/>
      <c r="E315" s="26"/>
      <c r="F315" s="1"/>
      <c r="G315" s="1"/>
      <c r="H315" s="1"/>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2.75" x14ac:dyDescent="0.2">
      <c r="A316" s="29"/>
      <c r="B316" s="26"/>
      <c r="C316" s="26"/>
      <c r="D316" s="26"/>
      <c r="E316" s="26"/>
      <c r="F316" s="1"/>
      <c r="G316" s="1"/>
      <c r="H316" s="1"/>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2.75" x14ac:dyDescent="0.2">
      <c r="A317" s="29"/>
      <c r="B317" s="26"/>
      <c r="C317" s="26"/>
      <c r="D317" s="26"/>
      <c r="E317" s="26"/>
      <c r="F317" s="1"/>
      <c r="G317" s="1"/>
      <c r="H317" s="1"/>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2.75" x14ac:dyDescent="0.2">
      <c r="A318" s="29"/>
      <c r="B318" s="26"/>
      <c r="C318" s="26"/>
      <c r="D318" s="26"/>
      <c r="E318" s="26"/>
      <c r="F318" s="1"/>
      <c r="G318" s="1"/>
      <c r="H318" s="1"/>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2.75" x14ac:dyDescent="0.2">
      <c r="A319" s="29"/>
      <c r="B319" s="26"/>
      <c r="C319" s="26"/>
      <c r="D319" s="26"/>
      <c r="E319" s="26"/>
      <c r="F319" s="1"/>
      <c r="G319" s="1"/>
      <c r="H319" s="1"/>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2.75" x14ac:dyDescent="0.2">
      <c r="A320" s="29"/>
      <c r="B320" s="26"/>
      <c r="C320" s="26"/>
      <c r="D320" s="26"/>
      <c r="E320" s="26"/>
      <c r="F320" s="1"/>
      <c r="G320" s="1"/>
      <c r="H320" s="1"/>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2.75" x14ac:dyDescent="0.2">
      <c r="A321" s="29"/>
      <c r="B321" s="26"/>
      <c r="C321" s="26"/>
      <c r="D321" s="26"/>
      <c r="E321" s="26"/>
      <c r="F321" s="1"/>
      <c r="G321" s="1"/>
      <c r="H321" s="1"/>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2.75" x14ac:dyDescent="0.2">
      <c r="A322" s="29"/>
      <c r="B322" s="26"/>
      <c r="C322" s="26"/>
      <c r="D322" s="26"/>
      <c r="E322" s="26"/>
      <c r="F322" s="1"/>
      <c r="G322" s="1"/>
      <c r="H322" s="1"/>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2.75" x14ac:dyDescent="0.2">
      <c r="A323" s="29"/>
      <c r="B323" s="26"/>
      <c r="C323" s="26"/>
      <c r="D323" s="26"/>
      <c r="E323" s="26"/>
      <c r="F323" s="1"/>
      <c r="G323" s="1"/>
      <c r="H323" s="1"/>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2.75" x14ac:dyDescent="0.2">
      <c r="A324" s="29"/>
      <c r="B324" s="26"/>
      <c r="C324" s="26"/>
      <c r="D324" s="26"/>
      <c r="E324" s="26"/>
      <c r="F324" s="1"/>
      <c r="G324" s="1"/>
      <c r="H324" s="1"/>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2.75" x14ac:dyDescent="0.2">
      <c r="A325" s="29"/>
      <c r="B325" s="26"/>
      <c r="C325" s="26"/>
      <c r="D325" s="26"/>
      <c r="E325" s="26"/>
      <c r="F325" s="1"/>
      <c r="G325" s="1"/>
      <c r="H325" s="1"/>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2.75" x14ac:dyDescent="0.2">
      <c r="A326" s="29"/>
      <c r="B326" s="26"/>
      <c r="C326" s="26"/>
      <c r="D326" s="26"/>
      <c r="E326" s="26"/>
      <c r="F326" s="1"/>
      <c r="G326" s="1"/>
      <c r="H326" s="1"/>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2.75" x14ac:dyDescent="0.2">
      <c r="A327" s="29"/>
      <c r="B327" s="26"/>
      <c r="C327" s="26"/>
      <c r="D327" s="26"/>
      <c r="E327" s="26"/>
      <c r="F327" s="1"/>
      <c r="G327" s="1"/>
      <c r="H327" s="1"/>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2.75" x14ac:dyDescent="0.2">
      <c r="A328" s="29"/>
      <c r="B328" s="26"/>
      <c r="C328" s="26"/>
      <c r="D328" s="26"/>
      <c r="E328" s="26"/>
      <c r="F328" s="1"/>
      <c r="G328" s="1"/>
      <c r="H328" s="1"/>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2.75" x14ac:dyDescent="0.2">
      <c r="A329" s="29"/>
      <c r="B329" s="26"/>
      <c r="C329" s="26"/>
      <c r="D329" s="26"/>
      <c r="E329" s="26"/>
      <c r="F329" s="1"/>
      <c r="G329" s="1"/>
      <c r="H329" s="1"/>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2.75" x14ac:dyDescent="0.2">
      <c r="A330" s="29"/>
      <c r="B330" s="26"/>
      <c r="C330" s="26"/>
      <c r="D330" s="26"/>
      <c r="E330" s="26"/>
      <c r="F330" s="1"/>
      <c r="G330" s="1"/>
      <c r="H330" s="1"/>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2.75" x14ac:dyDescent="0.2">
      <c r="A331" s="29"/>
      <c r="B331" s="26"/>
      <c r="C331" s="26"/>
      <c r="D331" s="26"/>
      <c r="E331" s="26"/>
      <c r="F331" s="1"/>
      <c r="G331" s="1"/>
      <c r="H331" s="1"/>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2.75" x14ac:dyDescent="0.2">
      <c r="A332" s="29"/>
      <c r="B332" s="26"/>
      <c r="C332" s="26"/>
      <c r="D332" s="26"/>
      <c r="E332" s="26"/>
      <c r="F332" s="1"/>
      <c r="G332" s="1"/>
      <c r="H332" s="1"/>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2.75" x14ac:dyDescent="0.2">
      <c r="A333" s="29"/>
      <c r="B333" s="26"/>
      <c r="C333" s="26"/>
      <c r="D333" s="26"/>
      <c r="E333" s="26"/>
      <c r="F333" s="1"/>
      <c r="G333" s="1"/>
      <c r="H333" s="1"/>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2.75" x14ac:dyDescent="0.2">
      <c r="A334" s="29"/>
      <c r="B334" s="26"/>
      <c r="C334" s="26"/>
      <c r="D334" s="26"/>
      <c r="E334" s="26"/>
      <c r="F334" s="1"/>
      <c r="G334" s="1"/>
      <c r="H334" s="1"/>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2.75" x14ac:dyDescent="0.2">
      <c r="A335" s="29"/>
      <c r="B335" s="26"/>
      <c r="C335" s="26"/>
      <c r="D335" s="26"/>
      <c r="E335" s="26"/>
      <c r="F335" s="1"/>
      <c r="G335" s="1"/>
      <c r="H335" s="1"/>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2.75" x14ac:dyDescent="0.2">
      <c r="A336" s="29"/>
      <c r="B336" s="26"/>
      <c r="C336" s="26"/>
      <c r="D336" s="26"/>
      <c r="E336" s="26"/>
      <c r="F336" s="1"/>
      <c r="G336" s="1"/>
      <c r="H336" s="1"/>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2.75" x14ac:dyDescent="0.2">
      <c r="A337" s="29"/>
      <c r="B337" s="26"/>
      <c r="C337" s="26"/>
      <c r="D337" s="26"/>
      <c r="E337" s="26"/>
      <c r="F337" s="1"/>
      <c r="G337" s="1"/>
      <c r="H337" s="1"/>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2.75" x14ac:dyDescent="0.2">
      <c r="A338" s="29"/>
      <c r="B338" s="26"/>
      <c r="C338" s="26"/>
      <c r="D338" s="26"/>
      <c r="E338" s="26"/>
      <c r="F338" s="1"/>
      <c r="G338" s="1"/>
      <c r="H338" s="1"/>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2.75" x14ac:dyDescent="0.2">
      <c r="A339" s="29"/>
      <c r="B339" s="26"/>
      <c r="C339" s="26"/>
      <c r="D339" s="26"/>
      <c r="E339" s="26"/>
      <c r="F339" s="1"/>
      <c r="G339" s="1"/>
      <c r="H339" s="1"/>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2.75" x14ac:dyDescent="0.2">
      <c r="A340" s="29"/>
      <c r="B340" s="26"/>
      <c r="C340" s="26"/>
      <c r="D340" s="26"/>
      <c r="E340" s="26"/>
      <c r="F340" s="1"/>
      <c r="G340" s="1"/>
      <c r="H340" s="1"/>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2.75" x14ac:dyDescent="0.2">
      <c r="A341" s="29"/>
      <c r="B341" s="26"/>
      <c r="C341" s="26"/>
      <c r="D341" s="26"/>
      <c r="E341" s="26"/>
      <c r="F341" s="1"/>
      <c r="G341" s="1"/>
      <c r="H341" s="1"/>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2.75" x14ac:dyDescent="0.2">
      <c r="A342" s="29"/>
      <c r="B342" s="26"/>
      <c r="C342" s="26"/>
      <c r="D342" s="26"/>
      <c r="E342" s="26"/>
      <c r="F342" s="1"/>
      <c r="G342" s="1"/>
      <c r="H342" s="1"/>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2.75" x14ac:dyDescent="0.2">
      <c r="A343" s="29"/>
      <c r="B343" s="26"/>
      <c r="C343" s="26"/>
      <c r="D343" s="26"/>
      <c r="E343" s="26"/>
      <c r="F343" s="1"/>
      <c r="G343" s="1"/>
      <c r="H343" s="1"/>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2.75" x14ac:dyDescent="0.2">
      <c r="A344" s="29"/>
      <c r="B344" s="26"/>
      <c r="C344" s="26"/>
      <c r="D344" s="26"/>
      <c r="E344" s="26"/>
      <c r="F344" s="1"/>
      <c r="G344" s="1"/>
      <c r="H344" s="1"/>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2.75" x14ac:dyDescent="0.2">
      <c r="A345" s="29"/>
      <c r="B345" s="26"/>
      <c r="C345" s="26"/>
      <c r="D345" s="26"/>
      <c r="E345" s="26"/>
      <c r="F345" s="1"/>
      <c r="G345" s="1"/>
      <c r="H345" s="1"/>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2.75" x14ac:dyDescent="0.2">
      <c r="A346" s="29"/>
      <c r="B346" s="26"/>
      <c r="C346" s="26"/>
      <c r="D346" s="26"/>
      <c r="E346" s="26"/>
      <c r="F346" s="1"/>
      <c r="G346" s="1"/>
      <c r="H346" s="1"/>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2.75" x14ac:dyDescent="0.2">
      <c r="A347" s="29"/>
      <c r="B347" s="26"/>
      <c r="C347" s="26"/>
      <c r="D347" s="26"/>
      <c r="E347" s="26"/>
      <c r="F347" s="1"/>
      <c r="G347" s="1"/>
      <c r="H347" s="1"/>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2.75" x14ac:dyDescent="0.2">
      <c r="A348" s="29"/>
      <c r="B348" s="26"/>
      <c r="C348" s="26"/>
      <c r="D348" s="26"/>
      <c r="E348" s="26"/>
      <c r="F348" s="1"/>
      <c r="G348" s="1"/>
      <c r="H348" s="1"/>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2.75" x14ac:dyDescent="0.2">
      <c r="A349" s="29"/>
      <c r="B349" s="26"/>
      <c r="C349" s="26"/>
      <c r="D349" s="26"/>
      <c r="E349" s="26"/>
      <c r="F349" s="1"/>
      <c r="G349" s="1"/>
      <c r="H349" s="1"/>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2.75" x14ac:dyDescent="0.2">
      <c r="A350" s="29"/>
      <c r="B350" s="26"/>
      <c r="C350" s="26"/>
      <c r="D350" s="26"/>
      <c r="E350" s="26"/>
      <c r="F350" s="1"/>
      <c r="G350" s="1"/>
      <c r="H350" s="1"/>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2.75" x14ac:dyDescent="0.2">
      <c r="A351" s="29"/>
      <c r="B351" s="26"/>
      <c r="C351" s="26"/>
      <c r="D351" s="26"/>
      <c r="E351" s="26"/>
      <c r="F351" s="1"/>
      <c r="G351" s="1"/>
      <c r="H351" s="1"/>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2.75" x14ac:dyDescent="0.2">
      <c r="A352" s="29"/>
      <c r="B352" s="26"/>
      <c r="C352" s="26"/>
      <c r="D352" s="26"/>
      <c r="E352" s="26"/>
      <c r="F352" s="1"/>
      <c r="G352" s="1"/>
      <c r="H352" s="1"/>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2.75" x14ac:dyDescent="0.2">
      <c r="A353" s="29"/>
      <c r="B353" s="26"/>
      <c r="C353" s="26"/>
      <c r="D353" s="26"/>
      <c r="E353" s="26"/>
      <c r="F353" s="1"/>
      <c r="G353" s="1"/>
      <c r="H353" s="1"/>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2.75" x14ac:dyDescent="0.2">
      <c r="A354" s="29"/>
      <c r="B354" s="26"/>
      <c r="C354" s="26"/>
      <c r="D354" s="26"/>
      <c r="E354" s="26"/>
      <c r="F354" s="1"/>
      <c r="G354" s="1"/>
      <c r="H354" s="1"/>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2.75" x14ac:dyDescent="0.2">
      <c r="A355" s="29"/>
      <c r="B355" s="26"/>
      <c r="C355" s="26"/>
      <c r="D355" s="26"/>
      <c r="E355" s="26"/>
      <c r="F355" s="1"/>
      <c r="G355" s="1"/>
      <c r="H355" s="1"/>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2.75" x14ac:dyDescent="0.2">
      <c r="A356" s="29"/>
      <c r="B356" s="26"/>
      <c r="C356" s="26"/>
      <c r="D356" s="26"/>
      <c r="E356" s="26"/>
      <c r="F356" s="1"/>
      <c r="G356" s="1"/>
      <c r="H356" s="1"/>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2.75" x14ac:dyDescent="0.2">
      <c r="A357" s="29"/>
      <c r="B357" s="26"/>
      <c r="C357" s="26"/>
      <c r="D357" s="26"/>
      <c r="E357" s="26"/>
      <c r="F357" s="1"/>
      <c r="G357" s="1"/>
      <c r="H357" s="1"/>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2.75" x14ac:dyDescent="0.2">
      <c r="A358" s="29"/>
      <c r="B358" s="26"/>
      <c r="C358" s="26"/>
      <c r="D358" s="26"/>
      <c r="E358" s="26"/>
      <c r="F358" s="1"/>
      <c r="G358" s="1"/>
      <c r="H358" s="1"/>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2.75" x14ac:dyDescent="0.2">
      <c r="A359" s="29"/>
      <c r="B359" s="26"/>
      <c r="C359" s="26"/>
      <c r="D359" s="26"/>
      <c r="E359" s="26"/>
      <c r="F359" s="1"/>
      <c r="G359" s="1"/>
      <c r="H359" s="1"/>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2.75" x14ac:dyDescent="0.2">
      <c r="A360" s="29"/>
      <c r="B360" s="26"/>
      <c r="C360" s="26"/>
      <c r="D360" s="26"/>
      <c r="E360" s="26"/>
      <c r="F360" s="1"/>
      <c r="G360" s="1"/>
      <c r="H360" s="1"/>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2.75" x14ac:dyDescent="0.2">
      <c r="A361" s="29"/>
      <c r="B361" s="26"/>
      <c r="C361" s="26"/>
      <c r="D361" s="26"/>
      <c r="E361" s="26"/>
      <c r="F361" s="1"/>
      <c r="G361" s="1"/>
      <c r="H361" s="1"/>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2.75" x14ac:dyDescent="0.2">
      <c r="A362" s="29"/>
      <c r="B362" s="26"/>
      <c r="C362" s="26"/>
      <c r="D362" s="26"/>
      <c r="E362" s="26"/>
      <c r="F362" s="1"/>
      <c r="G362" s="1"/>
      <c r="H362" s="1"/>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2.75" x14ac:dyDescent="0.2">
      <c r="A363" s="29"/>
      <c r="B363" s="26"/>
      <c r="C363" s="26"/>
      <c r="D363" s="26"/>
      <c r="E363" s="26"/>
      <c r="F363" s="1"/>
      <c r="G363" s="1"/>
      <c r="H363" s="1"/>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2.75" x14ac:dyDescent="0.2">
      <c r="A364" s="29"/>
      <c r="B364" s="26"/>
      <c r="C364" s="26"/>
      <c r="D364" s="26"/>
      <c r="E364" s="26"/>
      <c r="F364" s="1"/>
      <c r="G364" s="1"/>
      <c r="H364" s="1"/>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2.75" x14ac:dyDescent="0.2">
      <c r="A365" s="29"/>
      <c r="B365" s="26"/>
      <c r="C365" s="26"/>
      <c r="D365" s="26"/>
      <c r="E365" s="26"/>
      <c r="F365" s="1"/>
      <c r="G365" s="1"/>
      <c r="H365" s="1"/>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2.75" x14ac:dyDescent="0.2">
      <c r="A366" s="29"/>
      <c r="B366" s="26"/>
      <c r="C366" s="26"/>
      <c r="D366" s="26"/>
      <c r="E366" s="26"/>
      <c r="F366" s="1"/>
      <c r="G366" s="1"/>
      <c r="H366" s="1"/>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2.75" x14ac:dyDescent="0.2">
      <c r="A367" s="29"/>
      <c r="B367" s="26"/>
      <c r="C367" s="26"/>
      <c r="D367" s="26"/>
      <c r="E367" s="26"/>
      <c r="F367" s="1"/>
      <c r="G367" s="1"/>
      <c r="H367" s="1"/>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2.75" x14ac:dyDescent="0.2">
      <c r="A368" s="29"/>
      <c r="B368" s="26"/>
      <c r="C368" s="26"/>
      <c r="D368" s="26"/>
      <c r="E368" s="26"/>
      <c r="F368" s="1"/>
      <c r="G368" s="1"/>
      <c r="H368" s="1"/>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2.75" x14ac:dyDescent="0.2">
      <c r="A369" s="29"/>
      <c r="B369" s="26"/>
      <c r="C369" s="26"/>
      <c r="D369" s="26"/>
      <c r="E369" s="26"/>
      <c r="F369" s="1"/>
      <c r="G369" s="1"/>
      <c r="H369" s="1"/>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2.75" x14ac:dyDescent="0.2">
      <c r="A370" s="29"/>
      <c r="B370" s="26"/>
      <c r="C370" s="26"/>
      <c r="D370" s="26"/>
      <c r="E370" s="26"/>
      <c r="F370" s="1"/>
      <c r="G370" s="1"/>
      <c r="H370" s="1"/>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2.75" x14ac:dyDescent="0.2">
      <c r="A371" s="29"/>
      <c r="B371" s="26"/>
      <c r="C371" s="26"/>
      <c r="D371" s="26"/>
      <c r="E371" s="26"/>
      <c r="F371" s="1"/>
      <c r="G371" s="1"/>
      <c r="H371" s="1"/>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2.75" x14ac:dyDescent="0.2">
      <c r="A372" s="29"/>
      <c r="B372" s="26"/>
      <c r="C372" s="26"/>
      <c r="D372" s="26"/>
      <c r="E372" s="26"/>
      <c r="F372" s="1"/>
      <c r="G372" s="1"/>
      <c r="H372" s="1"/>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2.75" x14ac:dyDescent="0.2">
      <c r="A373" s="29"/>
      <c r="B373" s="26"/>
      <c r="C373" s="26"/>
      <c r="D373" s="26"/>
      <c r="E373" s="26"/>
      <c r="F373" s="1"/>
      <c r="G373" s="1"/>
      <c r="H373" s="1"/>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2.75" x14ac:dyDescent="0.2">
      <c r="A374" s="29"/>
      <c r="B374" s="26"/>
      <c r="C374" s="26"/>
      <c r="D374" s="26"/>
      <c r="E374" s="26"/>
      <c r="F374" s="1"/>
      <c r="G374" s="1"/>
      <c r="H374" s="1"/>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2.75" x14ac:dyDescent="0.2">
      <c r="A375" s="29"/>
      <c r="B375" s="26"/>
      <c r="C375" s="26"/>
      <c r="D375" s="26"/>
      <c r="E375" s="26"/>
      <c r="F375" s="1"/>
      <c r="G375" s="1"/>
      <c r="H375" s="1"/>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2.75" x14ac:dyDescent="0.2">
      <c r="A376" s="29"/>
      <c r="B376" s="26"/>
      <c r="C376" s="26"/>
      <c r="D376" s="26"/>
      <c r="E376" s="26"/>
      <c r="F376" s="1"/>
      <c r="G376" s="1"/>
      <c r="H376" s="1"/>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2.75" x14ac:dyDescent="0.2">
      <c r="A377" s="29"/>
      <c r="B377" s="26"/>
      <c r="C377" s="26"/>
      <c r="D377" s="26"/>
      <c r="E377" s="26"/>
      <c r="F377" s="1"/>
      <c r="G377" s="1"/>
      <c r="H377" s="1"/>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2.75" x14ac:dyDescent="0.2">
      <c r="A378" s="29"/>
      <c r="B378" s="26"/>
      <c r="C378" s="26"/>
      <c r="D378" s="26"/>
      <c r="E378" s="26"/>
      <c r="F378" s="1"/>
      <c r="G378" s="1"/>
      <c r="H378" s="1"/>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2.75" x14ac:dyDescent="0.2">
      <c r="A379" s="29"/>
      <c r="B379" s="26"/>
      <c r="C379" s="26"/>
      <c r="D379" s="26"/>
      <c r="E379" s="26"/>
      <c r="F379" s="1"/>
      <c r="G379" s="1"/>
      <c r="H379" s="1"/>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2.75" x14ac:dyDescent="0.2">
      <c r="A380" s="29"/>
      <c r="B380" s="26"/>
      <c r="C380" s="26"/>
      <c r="D380" s="26"/>
      <c r="E380" s="26"/>
      <c r="F380" s="1"/>
      <c r="G380" s="1"/>
      <c r="H380" s="1"/>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2.75" x14ac:dyDescent="0.2">
      <c r="A381" s="29"/>
      <c r="B381" s="26"/>
      <c r="C381" s="26"/>
      <c r="D381" s="26"/>
      <c r="E381" s="26"/>
      <c r="F381" s="1"/>
      <c r="G381" s="1"/>
      <c r="H381" s="1"/>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2.75" x14ac:dyDescent="0.2">
      <c r="A382" s="29"/>
      <c r="B382" s="26"/>
      <c r="C382" s="26"/>
      <c r="D382" s="26"/>
      <c r="E382" s="26"/>
      <c r="F382" s="1"/>
      <c r="G382" s="1"/>
      <c r="H382" s="1"/>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2.75" x14ac:dyDescent="0.2">
      <c r="A383" s="29"/>
      <c r="B383" s="26"/>
      <c r="C383" s="26"/>
      <c r="D383" s="26"/>
      <c r="E383" s="26"/>
      <c r="F383" s="1"/>
      <c r="G383" s="1"/>
      <c r="H383" s="1"/>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2.75" x14ac:dyDescent="0.2">
      <c r="A384" s="29"/>
      <c r="B384" s="26"/>
      <c r="C384" s="26"/>
      <c r="D384" s="26"/>
      <c r="E384" s="26"/>
      <c r="F384" s="1"/>
      <c r="G384" s="1"/>
      <c r="H384" s="1"/>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2.75" x14ac:dyDescent="0.2">
      <c r="A385" s="29"/>
      <c r="B385" s="26"/>
      <c r="C385" s="26"/>
      <c r="D385" s="26"/>
      <c r="E385" s="26"/>
      <c r="F385" s="1"/>
      <c r="G385" s="1"/>
      <c r="H385" s="1"/>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2.75" x14ac:dyDescent="0.2">
      <c r="A386" s="29"/>
      <c r="B386" s="26"/>
      <c r="C386" s="26"/>
      <c r="D386" s="26"/>
      <c r="E386" s="26"/>
      <c r="F386" s="1"/>
      <c r="G386" s="1"/>
      <c r="H386" s="1"/>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2.75" x14ac:dyDescent="0.2">
      <c r="A387" s="29"/>
      <c r="B387" s="26"/>
      <c r="C387" s="26"/>
      <c r="D387" s="26"/>
      <c r="E387" s="26"/>
      <c r="F387" s="1"/>
      <c r="G387" s="1"/>
      <c r="H387" s="1"/>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2.75" x14ac:dyDescent="0.2">
      <c r="A388" s="29"/>
      <c r="B388" s="26"/>
      <c r="C388" s="26"/>
      <c r="D388" s="26"/>
      <c r="E388" s="26"/>
      <c r="F388" s="1"/>
      <c r="G388" s="1"/>
      <c r="H388" s="1"/>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2.75" x14ac:dyDescent="0.2">
      <c r="A389" s="29"/>
      <c r="B389" s="26"/>
      <c r="C389" s="26"/>
      <c r="D389" s="26"/>
      <c r="E389" s="26"/>
      <c r="F389" s="1"/>
      <c r="G389" s="1"/>
      <c r="H389" s="1"/>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2.75" x14ac:dyDescent="0.2">
      <c r="A390" s="29"/>
      <c r="B390" s="26"/>
      <c r="C390" s="26"/>
      <c r="D390" s="26"/>
      <c r="E390" s="26"/>
      <c r="F390" s="1"/>
      <c r="G390" s="1"/>
      <c r="H390" s="1"/>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2.75" x14ac:dyDescent="0.2">
      <c r="A391" s="29"/>
      <c r="B391" s="26"/>
      <c r="C391" s="26"/>
      <c r="D391" s="26"/>
      <c r="E391" s="26"/>
      <c r="F391" s="1"/>
      <c r="G391" s="1"/>
      <c r="H391" s="1"/>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2.75" x14ac:dyDescent="0.2">
      <c r="A392" s="29"/>
      <c r="B392" s="26"/>
      <c r="C392" s="26"/>
      <c r="D392" s="26"/>
      <c r="E392" s="26"/>
      <c r="F392" s="1"/>
      <c r="G392" s="1"/>
      <c r="H392" s="1"/>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2.75" x14ac:dyDescent="0.2">
      <c r="A393" s="29"/>
      <c r="B393" s="26"/>
      <c r="C393" s="26"/>
      <c r="D393" s="26"/>
      <c r="E393" s="26"/>
      <c r="F393" s="1"/>
      <c r="G393" s="1"/>
      <c r="H393" s="1"/>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2.75" x14ac:dyDescent="0.2">
      <c r="A394" s="29"/>
      <c r="B394" s="26"/>
      <c r="C394" s="26"/>
      <c r="D394" s="26"/>
      <c r="E394" s="26"/>
      <c r="F394" s="1"/>
      <c r="G394" s="1"/>
      <c r="H394" s="1"/>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2.75" x14ac:dyDescent="0.2">
      <c r="A395" s="29"/>
      <c r="B395" s="26"/>
      <c r="C395" s="26"/>
      <c r="D395" s="26"/>
      <c r="E395" s="26"/>
      <c r="F395" s="1"/>
      <c r="G395" s="1"/>
      <c r="H395" s="1"/>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2.75" x14ac:dyDescent="0.2">
      <c r="A396" s="29"/>
      <c r="B396" s="26"/>
      <c r="C396" s="26"/>
      <c r="D396" s="26"/>
      <c r="E396" s="26"/>
      <c r="F396" s="1"/>
      <c r="G396" s="1"/>
      <c r="H396" s="1"/>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2.75" x14ac:dyDescent="0.2">
      <c r="A397" s="29"/>
      <c r="B397" s="26"/>
      <c r="C397" s="26"/>
      <c r="D397" s="26"/>
      <c r="E397" s="26"/>
      <c r="F397" s="1"/>
      <c r="G397" s="1"/>
      <c r="H397" s="1"/>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2.75" x14ac:dyDescent="0.2">
      <c r="A398" s="29"/>
      <c r="B398" s="26"/>
      <c r="C398" s="26"/>
      <c r="D398" s="26"/>
      <c r="E398" s="26"/>
      <c r="F398" s="1"/>
      <c r="G398" s="1"/>
      <c r="H398" s="1"/>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2.75" x14ac:dyDescent="0.2">
      <c r="A399" s="29"/>
      <c r="B399" s="26"/>
      <c r="C399" s="26"/>
      <c r="D399" s="26"/>
      <c r="E399" s="26"/>
      <c r="F399" s="1"/>
      <c r="G399" s="1"/>
      <c r="H399" s="1"/>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2.75" x14ac:dyDescent="0.2">
      <c r="A400" s="29"/>
      <c r="B400" s="26"/>
      <c r="C400" s="26"/>
      <c r="D400" s="26"/>
      <c r="E400" s="26"/>
      <c r="F400" s="1"/>
      <c r="G400" s="1"/>
      <c r="H400" s="1"/>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2.75" x14ac:dyDescent="0.2">
      <c r="A401" s="29"/>
      <c r="B401" s="26"/>
      <c r="C401" s="26"/>
      <c r="D401" s="26"/>
      <c r="E401" s="26"/>
      <c r="F401" s="1"/>
      <c r="G401" s="1"/>
      <c r="H401" s="1"/>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2.75" x14ac:dyDescent="0.2">
      <c r="A402" s="29"/>
      <c r="B402" s="26"/>
      <c r="C402" s="26"/>
      <c r="D402" s="26"/>
      <c r="E402" s="26"/>
      <c r="F402" s="1"/>
      <c r="G402" s="1"/>
      <c r="H402" s="1"/>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2.75" x14ac:dyDescent="0.2">
      <c r="A403" s="29"/>
      <c r="B403" s="26"/>
      <c r="C403" s="26"/>
      <c r="D403" s="26"/>
      <c r="E403" s="26"/>
      <c r="F403" s="1"/>
      <c r="G403" s="1"/>
      <c r="H403" s="1"/>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2.75" x14ac:dyDescent="0.2">
      <c r="A404" s="29"/>
      <c r="B404" s="26"/>
      <c r="C404" s="26"/>
      <c r="D404" s="26"/>
      <c r="E404" s="26"/>
      <c r="F404" s="1"/>
      <c r="G404" s="1"/>
      <c r="H404" s="1"/>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2.75" x14ac:dyDescent="0.2">
      <c r="A405" s="29"/>
      <c r="B405" s="26"/>
      <c r="C405" s="26"/>
      <c r="D405" s="26"/>
      <c r="E405" s="26"/>
      <c r="F405" s="1"/>
      <c r="G405" s="1"/>
      <c r="H405" s="1"/>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2.75" x14ac:dyDescent="0.2">
      <c r="A406" s="29"/>
      <c r="B406" s="26"/>
      <c r="C406" s="26"/>
      <c r="D406" s="26"/>
      <c r="E406" s="26"/>
      <c r="F406" s="1"/>
      <c r="G406" s="1"/>
      <c r="H406" s="1"/>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2.75" x14ac:dyDescent="0.2">
      <c r="A407" s="29"/>
      <c r="B407" s="26"/>
      <c r="C407" s="26"/>
      <c r="D407" s="26"/>
      <c r="E407" s="26"/>
      <c r="F407" s="1"/>
      <c r="G407" s="1"/>
      <c r="H407" s="1"/>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2.75" x14ac:dyDescent="0.2">
      <c r="A408" s="29"/>
      <c r="B408" s="26"/>
      <c r="C408" s="26"/>
      <c r="D408" s="26"/>
      <c r="E408" s="26"/>
      <c r="F408" s="1"/>
      <c r="G408" s="1"/>
      <c r="H408" s="1"/>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2.75" x14ac:dyDescent="0.2">
      <c r="A409" s="29"/>
      <c r="B409" s="26"/>
      <c r="C409" s="26"/>
      <c r="D409" s="26"/>
      <c r="E409" s="26"/>
      <c r="F409" s="1"/>
      <c r="G409" s="1"/>
      <c r="H409" s="1"/>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2.75" x14ac:dyDescent="0.2">
      <c r="A410" s="29"/>
      <c r="B410" s="26"/>
      <c r="C410" s="26"/>
      <c r="D410" s="26"/>
      <c r="E410" s="26"/>
      <c r="F410" s="1"/>
      <c r="G410" s="1"/>
      <c r="H410" s="1"/>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2.75" x14ac:dyDescent="0.2">
      <c r="A411" s="29"/>
      <c r="B411" s="26"/>
      <c r="C411" s="26"/>
      <c r="D411" s="26"/>
      <c r="E411" s="26"/>
      <c r="F411" s="1"/>
      <c r="G411" s="1"/>
      <c r="H411" s="1"/>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2.75" x14ac:dyDescent="0.2">
      <c r="A412" s="29"/>
      <c r="B412" s="26"/>
      <c r="C412" s="26"/>
      <c r="D412" s="26"/>
      <c r="E412" s="26"/>
      <c r="F412" s="1"/>
      <c r="G412" s="1"/>
      <c r="H412" s="1"/>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2.75" x14ac:dyDescent="0.2">
      <c r="A413" s="29"/>
      <c r="B413" s="26"/>
      <c r="C413" s="26"/>
      <c r="D413" s="26"/>
      <c r="E413" s="26"/>
      <c r="F413" s="1"/>
      <c r="G413" s="1"/>
      <c r="H413" s="1"/>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2.75" x14ac:dyDescent="0.2">
      <c r="A414" s="29"/>
      <c r="B414" s="26"/>
      <c r="C414" s="26"/>
      <c r="D414" s="26"/>
      <c r="E414" s="26"/>
      <c r="F414" s="1"/>
      <c r="G414" s="1"/>
      <c r="H414" s="1"/>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2.75" x14ac:dyDescent="0.2">
      <c r="A415" s="29"/>
      <c r="B415" s="26"/>
      <c r="C415" s="26"/>
      <c r="D415" s="26"/>
      <c r="E415" s="26"/>
      <c r="F415" s="1"/>
      <c r="G415" s="1"/>
      <c r="H415" s="1"/>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2.75" x14ac:dyDescent="0.2">
      <c r="A416" s="29"/>
      <c r="B416" s="26"/>
      <c r="C416" s="26"/>
      <c r="D416" s="26"/>
      <c r="E416" s="26"/>
      <c r="F416" s="1"/>
      <c r="G416" s="1"/>
      <c r="H416" s="1"/>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2.75" x14ac:dyDescent="0.2">
      <c r="A417" s="29"/>
      <c r="B417" s="26"/>
      <c r="C417" s="26"/>
      <c r="D417" s="26"/>
      <c r="E417" s="26"/>
      <c r="F417" s="1"/>
      <c r="G417" s="1"/>
      <c r="H417" s="1"/>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2.75" x14ac:dyDescent="0.2">
      <c r="A418" s="29"/>
      <c r="B418" s="26"/>
      <c r="C418" s="26"/>
      <c r="D418" s="26"/>
      <c r="E418" s="26"/>
      <c r="F418" s="1"/>
      <c r="G418" s="1"/>
      <c r="H418" s="1"/>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2.75" x14ac:dyDescent="0.2">
      <c r="A419" s="29"/>
      <c r="B419" s="26"/>
      <c r="C419" s="26"/>
      <c r="D419" s="26"/>
      <c r="E419" s="26"/>
      <c r="F419" s="1"/>
      <c r="G419" s="1"/>
      <c r="H419" s="1"/>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2.75" x14ac:dyDescent="0.2">
      <c r="A420" s="29"/>
      <c r="B420" s="26"/>
      <c r="C420" s="26"/>
      <c r="D420" s="26"/>
      <c r="E420" s="26"/>
      <c r="F420" s="1"/>
      <c r="G420" s="1"/>
      <c r="H420" s="1"/>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2.75" x14ac:dyDescent="0.2">
      <c r="A421" s="29"/>
      <c r="B421" s="26"/>
      <c r="C421" s="26"/>
      <c r="D421" s="26"/>
      <c r="E421" s="26"/>
      <c r="F421" s="1"/>
      <c r="G421" s="1"/>
      <c r="H421" s="1"/>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2.75" x14ac:dyDescent="0.2">
      <c r="A422" s="29"/>
      <c r="B422" s="26"/>
      <c r="C422" s="26"/>
      <c r="D422" s="26"/>
      <c r="E422" s="26"/>
      <c r="F422" s="1"/>
      <c r="G422" s="1"/>
      <c r="H422" s="1"/>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2.75" x14ac:dyDescent="0.2">
      <c r="A423" s="29"/>
      <c r="B423" s="26"/>
      <c r="C423" s="26"/>
      <c r="D423" s="26"/>
      <c r="E423" s="26"/>
      <c r="F423" s="1"/>
      <c r="G423" s="1"/>
      <c r="H423" s="1"/>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2.75" x14ac:dyDescent="0.2">
      <c r="A424" s="29"/>
      <c r="B424" s="26"/>
      <c r="C424" s="26"/>
      <c r="D424" s="26"/>
      <c r="E424" s="26"/>
      <c r="F424" s="1"/>
      <c r="G424" s="1"/>
      <c r="H424" s="1"/>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2.75" x14ac:dyDescent="0.2">
      <c r="A425" s="29"/>
      <c r="B425" s="26"/>
      <c r="C425" s="26"/>
      <c r="D425" s="26"/>
      <c r="E425" s="26"/>
      <c r="F425" s="1"/>
      <c r="G425" s="1"/>
      <c r="H425" s="1"/>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2.75" x14ac:dyDescent="0.2">
      <c r="A426" s="29"/>
      <c r="B426" s="26"/>
      <c r="C426" s="26"/>
      <c r="D426" s="26"/>
      <c r="E426" s="26"/>
      <c r="F426" s="1"/>
      <c r="G426" s="1"/>
      <c r="H426" s="1"/>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2.75" x14ac:dyDescent="0.2">
      <c r="A427" s="29"/>
      <c r="B427" s="26"/>
      <c r="C427" s="26"/>
      <c r="D427" s="26"/>
      <c r="E427" s="26"/>
      <c r="F427" s="1"/>
      <c r="G427" s="1"/>
      <c r="H427" s="1"/>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2.75" x14ac:dyDescent="0.2">
      <c r="A428" s="29"/>
      <c r="B428" s="26"/>
      <c r="C428" s="26"/>
      <c r="D428" s="26"/>
      <c r="E428" s="26"/>
      <c r="F428" s="1"/>
      <c r="G428" s="1"/>
      <c r="H428" s="1"/>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2.75" x14ac:dyDescent="0.2">
      <c r="A429" s="29"/>
      <c r="B429" s="26"/>
      <c r="C429" s="26"/>
      <c r="D429" s="26"/>
      <c r="E429" s="26"/>
      <c r="F429" s="1"/>
      <c r="G429" s="1"/>
      <c r="H429" s="1"/>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2.75" x14ac:dyDescent="0.2">
      <c r="A430" s="29"/>
      <c r="B430" s="26"/>
      <c r="C430" s="26"/>
      <c r="D430" s="26"/>
      <c r="E430" s="26"/>
      <c r="F430" s="1"/>
      <c r="G430" s="1"/>
      <c r="H430" s="1"/>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2.75" x14ac:dyDescent="0.2">
      <c r="A431" s="29"/>
      <c r="B431" s="26"/>
      <c r="C431" s="26"/>
      <c r="D431" s="26"/>
      <c r="E431" s="26"/>
      <c r="F431" s="1"/>
      <c r="G431" s="1"/>
      <c r="H431" s="1"/>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2.75" x14ac:dyDescent="0.2">
      <c r="A432" s="29"/>
      <c r="B432" s="26"/>
      <c r="C432" s="26"/>
      <c r="D432" s="26"/>
      <c r="E432" s="26"/>
      <c r="F432" s="1"/>
      <c r="G432" s="1"/>
      <c r="H432" s="1"/>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2.75" x14ac:dyDescent="0.2">
      <c r="A433" s="29"/>
      <c r="B433" s="26"/>
      <c r="C433" s="26"/>
      <c r="D433" s="26"/>
      <c r="E433" s="26"/>
      <c r="F433" s="1"/>
      <c r="G433" s="1"/>
      <c r="H433" s="1"/>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2.75" x14ac:dyDescent="0.2">
      <c r="A434" s="29"/>
      <c r="B434" s="26"/>
      <c r="C434" s="26"/>
      <c r="D434" s="26"/>
      <c r="E434" s="26"/>
      <c r="F434" s="1"/>
      <c r="G434" s="1"/>
      <c r="H434" s="1"/>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2.75" x14ac:dyDescent="0.2">
      <c r="A435" s="29"/>
      <c r="B435" s="26"/>
      <c r="C435" s="26"/>
      <c r="D435" s="26"/>
      <c r="E435" s="26"/>
      <c r="F435" s="1"/>
      <c r="G435" s="1"/>
      <c r="H435" s="1"/>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2.75" x14ac:dyDescent="0.2">
      <c r="A436" s="29"/>
      <c r="B436" s="26"/>
      <c r="C436" s="26"/>
      <c r="D436" s="26"/>
      <c r="E436" s="26"/>
      <c r="F436" s="1"/>
      <c r="G436" s="1"/>
      <c r="H436" s="1"/>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2.75" x14ac:dyDescent="0.2">
      <c r="A437" s="29"/>
      <c r="B437" s="26"/>
      <c r="C437" s="26"/>
      <c r="D437" s="26"/>
      <c r="E437" s="26"/>
      <c r="F437" s="1"/>
      <c r="G437" s="1"/>
      <c r="H437" s="1"/>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2.75" x14ac:dyDescent="0.2">
      <c r="A438" s="29"/>
      <c r="B438" s="26"/>
      <c r="C438" s="26"/>
      <c r="D438" s="26"/>
      <c r="E438" s="26"/>
      <c r="F438" s="1"/>
      <c r="G438" s="1"/>
      <c r="H438" s="1"/>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2.75" x14ac:dyDescent="0.2">
      <c r="A439" s="29"/>
      <c r="B439" s="26"/>
      <c r="C439" s="26"/>
      <c r="D439" s="26"/>
      <c r="E439" s="26"/>
      <c r="F439" s="1"/>
      <c r="G439" s="1"/>
      <c r="H439" s="1"/>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2.75" x14ac:dyDescent="0.2">
      <c r="A440" s="29"/>
      <c r="B440" s="26"/>
      <c r="C440" s="26"/>
      <c r="D440" s="26"/>
      <c r="E440" s="26"/>
      <c r="F440" s="1"/>
      <c r="G440" s="1"/>
      <c r="H440" s="1"/>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2.75" x14ac:dyDescent="0.2">
      <c r="A441" s="29"/>
      <c r="B441" s="26"/>
      <c r="C441" s="26"/>
      <c r="D441" s="26"/>
      <c r="E441" s="26"/>
      <c r="F441" s="1"/>
      <c r="G441" s="1"/>
      <c r="H441" s="1"/>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2.75" x14ac:dyDescent="0.2">
      <c r="A442" s="29"/>
      <c r="B442" s="26"/>
      <c r="C442" s="26"/>
      <c r="D442" s="26"/>
      <c r="E442" s="26"/>
      <c r="F442" s="1"/>
      <c r="G442" s="1"/>
      <c r="H442" s="1"/>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2.75" x14ac:dyDescent="0.2">
      <c r="A443" s="29"/>
      <c r="B443" s="26"/>
      <c r="C443" s="26"/>
      <c r="D443" s="26"/>
      <c r="E443" s="26"/>
      <c r="F443" s="1"/>
      <c r="G443" s="1"/>
      <c r="H443" s="1"/>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2.75" x14ac:dyDescent="0.2">
      <c r="A444" s="29"/>
      <c r="B444" s="26"/>
      <c r="C444" s="26"/>
      <c r="D444" s="26"/>
      <c r="E444" s="26"/>
      <c r="F444" s="1"/>
      <c r="G444" s="1"/>
      <c r="H444" s="1"/>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2.75" x14ac:dyDescent="0.2">
      <c r="A445" s="29"/>
      <c r="B445" s="26"/>
      <c r="C445" s="26"/>
      <c r="D445" s="26"/>
      <c r="E445" s="26"/>
      <c r="F445" s="1"/>
      <c r="G445" s="1"/>
      <c r="H445" s="1"/>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2.75" x14ac:dyDescent="0.2">
      <c r="A446" s="29"/>
      <c r="B446" s="26"/>
      <c r="C446" s="26"/>
      <c r="D446" s="26"/>
      <c r="E446" s="26"/>
      <c r="F446" s="1"/>
      <c r="G446" s="1"/>
      <c r="H446" s="1"/>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2.75" x14ac:dyDescent="0.2">
      <c r="A447" s="29"/>
      <c r="B447" s="26"/>
      <c r="C447" s="26"/>
      <c r="D447" s="26"/>
      <c r="E447" s="26"/>
      <c r="F447" s="1"/>
      <c r="G447" s="1"/>
      <c r="H447" s="1"/>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2.75" x14ac:dyDescent="0.2">
      <c r="A448" s="29"/>
      <c r="B448" s="26"/>
      <c r="C448" s="26"/>
      <c r="D448" s="26"/>
      <c r="E448" s="26"/>
      <c r="F448" s="1"/>
      <c r="G448" s="1"/>
      <c r="H448" s="1"/>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2.75" x14ac:dyDescent="0.2">
      <c r="A449" s="29"/>
      <c r="B449" s="26"/>
      <c r="C449" s="26"/>
      <c r="D449" s="26"/>
      <c r="E449" s="26"/>
      <c r="F449" s="1"/>
      <c r="G449" s="1"/>
      <c r="H449" s="1"/>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2.75" x14ac:dyDescent="0.2">
      <c r="A450" s="29"/>
      <c r="B450" s="26"/>
      <c r="C450" s="26"/>
      <c r="D450" s="26"/>
      <c r="E450" s="26"/>
      <c r="F450" s="1"/>
      <c r="G450" s="1"/>
      <c r="H450" s="1"/>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2.75" x14ac:dyDescent="0.2">
      <c r="A451" s="29"/>
      <c r="B451" s="26"/>
      <c r="C451" s="26"/>
      <c r="D451" s="26"/>
      <c r="E451" s="26"/>
      <c r="F451" s="1"/>
      <c r="G451" s="1"/>
      <c r="H451" s="1"/>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2.75" x14ac:dyDescent="0.2">
      <c r="A452" s="29"/>
      <c r="B452" s="26"/>
      <c r="C452" s="26"/>
      <c r="D452" s="26"/>
      <c r="E452" s="26"/>
      <c r="F452" s="1"/>
      <c r="G452" s="1"/>
      <c r="H452" s="1"/>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2.75" x14ac:dyDescent="0.2">
      <c r="A453" s="29"/>
      <c r="B453" s="26"/>
      <c r="C453" s="26"/>
      <c r="D453" s="26"/>
      <c r="E453" s="26"/>
      <c r="F453" s="1"/>
      <c r="G453" s="1"/>
      <c r="H453" s="1"/>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2.75" x14ac:dyDescent="0.2">
      <c r="A454" s="29"/>
      <c r="B454" s="26"/>
      <c r="C454" s="26"/>
      <c r="D454" s="26"/>
      <c r="E454" s="26"/>
      <c r="F454" s="1"/>
      <c r="G454" s="1"/>
      <c r="H454" s="1"/>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2.75" x14ac:dyDescent="0.2">
      <c r="A455" s="29"/>
      <c r="B455" s="26"/>
      <c r="C455" s="26"/>
      <c r="D455" s="26"/>
      <c r="E455" s="26"/>
      <c r="F455" s="1"/>
      <c r="G455" s="1"/>
      <c r="H455" s="1"/>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2.75" x14ac:dyDescent="0.2">
      <c r="A456" s="29"/>
      <c r="B456" s="26"/>
      <c r="C456" s="26"/>
      <c r="D456" s="26"/>
      <c r="E456" s="26"/>
      <c r="F456" s="1"/>
      <c r="G456" s="1"/>
      <c r="H456" s="1"/>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2.75" x14ac:dyDescent="0.2">
      <c r="A457" s="29"/>
      <c r="B457" s="26"/>
      <c r="C457" s="26"/>
      <c r="D457" s="26"/>
      <c r="E457" s="26"/>
      <c r="F457" s="1"/>
      <c r="G457" s="1"/>
      <c r="H457" s="1"/>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2.75" x14ac:dyDescent="0.2">
      <c r="A458" s="29"/>
      <c r="B458" s="26"/>
      <c r="C458" s="26"/>
      <c r="D458" s="26"/>
      <c r="E458" s="26"/>
      <c r="F458" s="1"/>
      <c r="G458" s="1"/>
      <c r="H458" s="1"/>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2.75" x14ac:dyDescent="0.2">
      <c r="A459" s="29"/>
      <c r="B459" s="26"/>
      <c r="C459" s="26"/>
      <c r="D459" s="26"/>
      <c r="E459" s="26"/>
      <c r="F459" s="1"/>
      <c r="G459" s="1"/>
      <c r="H459" s="1"/>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2.75" x14ac:dyDescent="0.2">
      <c r="A460" s="29"/>
      <c r="B460" s="26"/>
      <c r="C460" s="26"/>
      <c r="D460" s="26"/>
      <c r="E460" s="26"/>
      <c r="F460" s="1"/>
      <c r="G460" s="1"/>
      <c r="H460" s="1"/>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2.75" x14ac:dyDescent="0.2">
      <c r="A461" s="29"/>
      <c r="B461" s="26"/>
      <c r="C461" s="26"/>
      <c r="D461" s="26"/>
      <c r="E461" s="26"/>
      <c r="F461" s="1"/>
      <c r="G461" s="1"/>
      <c r="H461" s="1"/>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2.75" x14ac:dyDescent="0.2">
      <c r="A462" s="29"/>
      <c r="B462" s="26"/>
      <c r="C462" s="26"/>
      <c r="D462" s="26"/>
      <c r="E462" s="26"/>
      <c r="F462" s="1"/>
      <c r="G462" s="1"/>
      <c r="H462" s="1"/>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2.75" x14ac:dyDescent="0.2">
      <c r="A463" s="29"/>
      <c r="B463" s="26"/>
      <c r="C463" s="26"/>
      <c r="D463" s="26"/>
      <c r="E463" s="26"/>
      <c r="F463" s="1"/>
      <c r="G463" s="1"/>
      <c r="H463" s="1"/>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2.75" x14ac:dyDescent="0.2">
      <c r="A464" s="29"/>
      <c r="B464" s="26"/>
      <c r="C464" s="26"/>
      <c r="D464" s="26"/>
      <c r="E464" s="26"/>
      <c r="F464" s="1"/>
      <c r="G464" s="1"/>
      <c r="H464" s="1"/>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2.75" x14ac:dyDescent="0.2">
      <c r="A465" s="29"/>
      <c r="B465" s="26"/>
      <c r="C465" s="26"/>
      <c r="D465" s="26"/>
      <c r="E465" s="26"/>
      <c r="F465" s="1"/>
      <c r="G465" s="1"/>
      <c r="H465" s="1"/>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2.75" x14ac:dyDescent="0.2">
      <c r="A466" s="29"/>
      <c r="B466" s="26"/>
      <c r="C466" s="26"/>
      <c r="D466" s="26"/>
      <c r="E466" s="26"/>
      <c r="F466" s="1"/>
      <c r="G466" s="1"/>
      <c r="H466" s="1"/>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2.75" x14ac:dyDescent="0.2">
      <c r="A467" s="29"/>
      <c r="B467" s="26"/>
      <c r="C467" s="26"/>
      <c r="D467" s="26"/>
      <c r="E467" s="26"/>
      <c r="F467" s="1"/>
      <c r="G467" s="1"/>
      <c r="H467" s="1"/>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2.75" x14ac:dyDescent="0.2">
      <c r="A468" s="29"/>
      <c r="B468" s="26"/>
      <c r="C468" s="26"/>
      <c r="D468" s="26"/>
      <c r="E468" s="26"/>
      <c r="F468" s="1"/>
      <c r="G468" s="1"/>
      <c r="H468" s="1"/>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2.75" x14ac:dyDescent="0.2">
      <c r="A469" s="29"/>
      <c r="B469" s="26"/>
      <c r="C469" s="26"/>
      <c r="D469" s="26"/>
      <c r="E469" s="26"/>
      <c r="F469" s="1"/>
      <c r="G469" s="1"/>
      <c r="H469" s="1"/>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2.75" x14ac:dyDescent="0.2">
      <c r="A470" s="29"/>
      <c r="B470" s="26"/>
      <c r="C470" s="26"/>
      <c r="D470" s="26"/>
      <c r="E470" s="26"/>
      <c r="F470" s="1"/>
      <c r="G470" s="1"/>
      <c r="H470" s="1"/>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2.75" x14ac:dyDescent="0.2">
      <c r="A471" s="29"/>
      <c r="B471" s="26"/>
      <c r="C471" s="26"/>
      <c r="D471" s="26"/>
      <c r="E471" s="26"/>
      <c r="F471" s="1"/>
      <c r="G471" s="1"/>
      <c r="H471" s="1"/>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2.75" x14ac:dyDescent="0.2">
      <c r="A472" s="29"/>
      <c r="B472" s="26"/>
      <c r="C472" s="26"/>
      <c r="D472" s="26"/>
      <c r="E472" s="26"/>
      <c r="F472" s="1"/>
      <c r="G472" s="1"/>
      <c r="H472" s="1"/>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2.75" x14ac:dyDescent="0.2">
      <c r="A473" s="29"/>
      <c r="B473" s="26"/>
      <c r="C473" s="26"/>
      <c r="D473" s="26"/>
      <c r="E473" s="26"/>
      <c r="F473" s="1"/>
      <c r="G473" s="1"/>
      <c r="H473" s="1"/>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2.75" x14ac:dyDescent="0.2">
      <c r="A474" s="29"/>
      <c r="B474" s="26"/>
      <c r="C474" s="26"/>
      <c r="D474" s="26"/>
      <c r="E474" s="26"/>
      <c r="F474" s="1"/>
      <c r="G474" s="1"/>
      <c r="H474" s="1"/>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2.75" x14ac:dyDescent="0.2">
      <c r="A475" s="29"/>
      <c r="B475" s="26"/>
      <c r="C475" s="26"/>
      <c r="D475" s="26"/>
      <c r="E475" s="26"/>
      <c r="F475" s="1"/>
      <c r="G475" s="1"/>
      <c r="H475" s="1"/>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2.75" x14ac:dyDescent="0.2">
      <c r="A476" s="29"/>
      <c r="B476" s="26"/>
      <c r="C476" s="26"/>
      <c r="D476" s="26"/>
      <c r="E476" s="26"/>
      <c r="F476" s="1"/>
      <c r="G476" s="1"/>
      <c r="H476" s="1"/>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2.75" x14ac:dyDescent="0.2">
      <c r="A477" s="29"/>
      <c r="B477" s="26"/>
      <c r="C477" s="26"/>
      <c r="D477" s="26"/>
      <c r="E477" s="26"/>
      <c r="F477" s="1"/>
      <c r="G477" s="1"/>
      <c r="H477" s="1"/>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2.75" x14ac:dyDescent="0.2">
      <c r="A478" s="29"/>
      <c r="B478" s="26"/>
      <c r="C478" s="26"/>
      <c r="D478" s="26"/>
      <c r="E478" s="26"/>
      <c r="F478" s="1"/>
      <c r="G478" s="1"/>
      <c r="H478" s="1"/>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2.75" x14ac:dyDescent="0.2">
      <c r="A479" s="29"/>
      <c r="B479" s="26"/>
      <c r="C479" s="26"/>
      <c r="D479" s="26"/>
      <c r="E479" s="26"/>
      <c r="F479" s="1"/>
      <c r="G479" s="1"/>
      <c r="H479" s="1"/>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2.75" x14ac:dyDescent="0.2">
      <c r="A480" s="29"/>
      <c r="B480" s="26"/>
      <c r="C480" s="26"/>
      <c r="D480" s="26"/>
      <c r="E480" s="26"/>
      <c r="F480" s="1"/>
      <c r="G480" s="1"/>
      <c r="H480" s="1"/>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2.75" x14ac:dyDescent="0.2">
      <c r="A481" s="29"/>
      <c r="B481" s="26"/>
      <c r="C481" s="26"/>
      <c r="D481" s="26"/>
      <c r="E481" s="26"/>
      <c r="F481" s="1"/>
      <c r="G481" s="1"/>
      <c r="H481" s="1"/>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2.75" x14ac:dyDescent="0.2">
      <c r="A482" s="29"/>
      <c r="B482" s="26"/>
      <c r="C482" s="26"/>
      <c r="D482" s="26"/>
      <c r="E482" s="26"/>
      <c r="F482" s="1"/>
      <c r="G482" s="1"/>
      <c r="H482" s="1"/>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2.75" x14ac:dyDescent="0.2">
      <c r="A483" s="29"/>
      <c r="B483" s="26"/>
      <c r="C483" s="26"/>
      <c r="D483" s="26"/>
      <c r="E483" s="26"/>
      <c r="F483" s="1"/>
      <c r="G483" s="1"/>
      <c r="H483" s="1"/>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2.75" x14ac:dyDescent="0.2">
      <c r="A484" s="29"/>
      <c r="B484" s="26"/>
      <c r="C484" s="26"/>
      <c r="D484" s="26"/>
      <c r="E484" s="26"/>
      <c r="F484" s="1"/>
      <c r="G484" s="1"/>
      <c r="H484" s="1"/>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2.75" x14ac:dyDescent="0.2">
      <c r="A485" s="29"/>
      <c r="B485" s="26"/>
      <c r="C485" s="26"/>
      <c r="D485" s="26"/>
      <c r="E485" s="26"/>
      <c r="F485" s="1"/>
      <c r="G485" s="1"/>
      <c r="H485" s="1"/>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2.75" x14ac:dyDescent="0.2">
      <c r="A486" s="29"/>
      <c r="B486" s="26"/>
      <c r="C486" s="26"/>
      <c r="D486" s="26"/>
      <c r="E486" s="26"/>
      <c r="F486" s="1"/>
      <c r="G486" s="1"/>
      <c r="H486" s="1"/>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2.75" x14ac:dyDescent="0.2">
      <c r="A487" s="29"/>
      <c r="B487" s="26"/>
      <c r="C487" s="26"/>
      <c r="D487" s="26"/>
      <c r="E487" s="26"/>
      <c r="F487" s="1"/>
      <c r="G487" s="1"/>
      <c r="H487" s="1"/>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2.75" x14ac:dyDescent="0.2">
      <c r="A488" s="29"/>
      <c r="B488" s="26"/>
      <c r="C488" s="26"/>
      <c r="D488" s="26"/>
      <c r="E488" s="26"/>
      <c r="F488" s="1"/>
      <c r="G488" s="1"/>
      <c r="H488" s="1"/>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2.75" x14ac:dyDescent="0.2">
      <c r="A489" s="29"/>
      <c r="B489" s="26"/>
      <c r="C489" s="26"/>
      <c r="D489" s="26"/>
      <c r="E489" s="26"/>
      <c r="F489" s="1"/>
      <c r="G489" s="1"/>
      <c r="H489" s="1"/>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2.75" x14ac:dyDescent="0.2">
      <c r="A490" s="29"/>
      <c r="B490" s="26"/>
      <c r="C490" s="26"/>
      <c r="D490" s="26"/>
      <c r="E490" s="26"/>
      <c r="F490" s="1"/>
      <c r="G490" s="1"/>
      <c r="H490" s="1"/>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2.75" x14ac:dyDescent="0.2">
      <c r="A491" s="29"/>
      <c r="B491" s="26"/>
      <c r="C491" s="26"/>
      <c r="D491" s="26"/>
      <c r="E491" s="26"/>
      <c r="F491" s="1"/>
      <c r="G491" s="1"/>
      <c r="H491" s="1"/>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2.75" x14ac:dyDescent="0.2">
      <c r="A492" s="29"/>
      <c r="B492" s="26"/>
      <c r="C492" s="26"/>
      <c r="D492" s="26"/>
      <c r="E492" s="26"/>
      <c r="F492" s="1"/>
      <c r="G492" s="1"/>
      <c r="H492" s="1"/>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2.75" x14ac:dyDescent="0.2">
      <c r="A493" s="29"/>
      <c r="B493" s="26"/>
      <c r="C493" s="26"/>
      <c r="D493" s="26"/>
      <c r="E493" s="26"/>
      <c r="F493" s="1"/>
      <c r="G493" s="1"/>
      <c r="H493" s="1"/>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2.75" x14ac:dyDescent="0.2">
      <c r="A494" s="29"/>
      <c r="B494" s="26"/>
      <c r="C494" s="26"/>
      <c r="D494" s="26"/>
      <c r="E494" s="26"/>
      <c r="F494" s="1"/>
      <c r="G494" s="1"/>
      <c r="H494" s="1"/>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2.75" x14ac:dyDescent="0.2">
      <c r="A495" s="29"/>
      <c r="B495" s="26"/>
      <c r="C495" s="26"/>
      <c r="D495" s="26"/>
      <c r="E495" s="26"/>
      <c r="F495" s="1"/>
      <c r="G495" s="1"/>
      <c r="H495" s="1"/>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2.75" x14ac:dyDescent="0.2">
      <c r="A496" s="29"/>
      <c r="B496" s="26"/>
      <c r="C496" s="26"/>
      <c r="D496" s="26"/>
      <c r="E496" s="26"/>
      <c r="F496" s="1"/>
      <c r="G496" s="1"/>
      <c r="H496" s="1"/>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2.75" x14ac:dyDescent="0.2">
      <c r="A497" s="29"/>
      <c r="B497" s="26"/>
      <c r="C497" s="26"/>
      <c r="D497" s="26"/>
      <c r="E497" s="26"/>
      <c r="F497" s="1"/>
      <c r="G497" s="1"/>
      <c r="H497" s="1"/>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2.75" x14ac:dyDescent="0.2">
      <c r="A498" s="29"/>
      <c r="B498" s="26"/>
      <c r="C498" s="26"/>
      <c r="D498" s="26"/>
      <c r="E498" s="26"/>
      <c r="F498" s="1"/>
      <c r="G498" s="1"/>
      <c r="H498" s="1"/>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2.75" x14ac:dyDescent="0.2">
      <c r="A499" s="29"/>
      <c r="B499" s="26"/>
      <c r="C499" s="26"/>
      <c r="D499" s="26"/>
      <c r="E499" s="26"/>
      <c r="F499" s="1"/>
      <c r="G499" s="1"/>
      <c r="H499" s="1"/>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2.75" x14ac:dyDescent="0.2">
      <c r="A500" s="29"/>
      <c r="B500" s="26"/>
      <c r="C500" s="26"/>
      <c r="D500" s="26"/>
      <c r="E500" s="26"/>
      <c r="F500" s="1"/>
      <c r="G500" s="1"/>
      <c r="H500" s="1"/>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2.75" x14ac:dyDescent="0.2">
      <c r="A501" s="29"/>
      <c r="B501" s="26"/>
      <c r="C501" s="26"/>
      <c r="D501" s="26"/>
      <c r="E501" s="26"/>
      <c r="F501" s="1"/>
      <c r="G501" s="1"/>
      <c r="H501" s="1"/>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2.75" x14ac:dyDescent="0.2">
      <c r="A502" s="29"/>
      <c r="B502" s="26"/>
      <c r="C502" s="26"/>
      <c r="D502" s="26"/>
      <c r="E502" s="26"/>
      <c r="F502" s="1"/>
      <c r="G502" s="1"/>
      <c r="H502" s="1"/>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2.75" x14ac:dyDescent="0.2">
      <c r="A503" s="29"/>
      <c r="B503" s="26"/>
      <c r="C503" s="26"/>
      <c r="D503" s="26"/>
      <c r="E503" s="26"/>
      <c r="F503" s="1"/>
      <c r="G503" s="1"/>
      <c r="H503" s="1"/>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2.75" x14ac:dyDescent="0.2">
      <c r="A504" s="29"/>
      <c r="B504" s="26"/>
      <c r="C504" s="26"/>
      <c r="D504" s="26"/>
      <c r="E504" s="26"/>
      <c r="F504" s="1"/>
      <c r="G504" s="1"/>
      <c r="H504" s="1"/>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2.75" x14ac:dyDescent="0.2">
      <c r="A505" s="29"/>
      <c r="B505" s="26"/>
      <c r="C505" s="26"/>
      <c r="D505" s="26"/>
      <c r="E505" s="26"/>
      <c r="F505" s="1"/>
      <c r="G505" s="1"/>
      <c r="H505" s="1"/>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2.75" x14ac:dyDescent="0.2">
      <c r="A506" s="29"/>
      <c r="B506" s="26"/>
      <c r="C506" s="26"/>
      <c r="D506" s="26"/>
      <c r="E506" s="26"/>
      <c r="F506" s="1"/>
      <c r="G506" s="1"/>
      <c r="H506" s="1"/>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2.75" x14ac:dyDescent="0.2">
      <c r="A507" s="29"/>
      <c r="B507" s="26"/>
      <c r="C507" s="26"/>
      <c r="D507" s="26"/>
      <c r="E507" s="26"/>
      <c r="F507" s="1"/>
      <c r="G507" s="1"/>
      <c r="H507" s="1"/>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2.75" x14ac:dyDescent="0.2">
      <c r="A508" s="29"/>
      <c r="B508" s="26"/>
      <c r="C508" s="26"/>
      <c r="D508" s="26"/>
      <c r="E508" s="26"/>
      <c r="F508" s="1"/>
      <c r="G508" s="1"/>
      <c r="H508" s="1"/>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2.75" x14ac:dyDescent="0.2">
      <c r="A509" s="29"/>
      <c r="B509" s="26"/>
      <c r="C509" s="26"/>
      <c r="D509" s="26"/>
      <c r="E509" s="26"/>
      <c r="F509" s="1"/>
      <c r="G509" s="1"/>
      <c r="H509" s="1"/>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2.75" x14ac:dyDescent="0.2">
      <c r="A510" s="29"/>
      <c r="B510" s="26"/>
      <c r="C510" s="26"/>
      <c r="D510" s="26"/>
      <c r="E510" s="26"/>
      <c r="F510" s="1"/>
      <c r="G510" s="1"/>
      <c r="H510" s="1"/>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2.75" x14ac:dyDescent="0.2">
      <c r="A511" s="29"/>
      <c r="B511" s="26"/>
      <c r="C511" s="26"/>
      <c r="D511" s="26"/>
      <c r="E511" s="26"/>
      <c r="F511" s="1"/>
      <c r="G511" s="1"/>
      <c r="H511" s="1"/>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2.75" x14ac:dyDescent="0.2">
      <c r="A512" s="29"/>
      <c r="B512" s="26"/>
      <c r="C512" s="26"/>
      <c r="D512" s="26"/>
      <c r="E512" s="26"/>
      <c r="F512" s="1"/>
      <c r="G512" s="1"/>
      <c r="H512" s="1"/>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2.75" x14ac:dyDescent="0.2">
      <c r="A513" s="29"/>
      <c r="B513" s="26"/>
      <c r="C513" s="26"/>
      <c r="D513" s="26"/>
      <c r="E513" s="26"/>
      <c r="F513" s="1"/>
      <c r="G513" s="1"/>
      <c r="H513" s="1"/>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2.75" x14ac:dyDescent="0.2">
      <c r="A514" s="29"/>
      <c r="B514" s="26"/>
      <c r="C514" s="26"/>
      <c r="D514" s="26"/>
      <c r="E514" s="26"/>
      <c r="F514" s="1"/>
      <c r="G514" s="1"/>
      <c r="H514" s="1"/>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2.75" x14ac:dyDescent="0.2">
      <c r="A515" s="29"/>
      <c r="B515" s="26"/>
      <c r="C515" s="26"/>
      <c r="D515" s="26"/>
      <c r="E515" s="26"/>
      <c r="F515" s="1"/>
      <c r="G515" s="1"/>
      <c r="H515" s="1"/>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2.75" x14ac:dyDescent="0.2">
      <c r="A516" s="29"/>
      <c r="B516" s="26"/>
      <c r="C516" s="26"/>
      <c r="D516" s="26"/>
      <c r="E516" s="26"/>
      <c r="F516" s="1"/>
      <c r="G516" s="1"/>
      <c r="H516" s="1"/>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2.75" x14ac:dyDescent="0.2">
      <c r="A517" s="29"/>
      <c r="B517" s="26"/>
      <c r="C517" s="26"/>
      <c r="D517" s="26"/>
      <c r="E517" s="26"/>
      <c r="F517" s="1"/>
      <c r="G517" s="1"/>
      <c r="H517" s="1"/>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2.75" x14ac:dyDescent="0.2">
      <c r="A518" s="29"/>
      <c r="B518" s="26"/>
      <c r="C518" s="26"/>
      <c r="D518" s="26"/>
      <c r="E518" s="26"/>
      <c r="F518" s="1"/>
      <c r="G518" s="1"/>
      <c r="H518" s="1"/>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2.75" x14ac:dyDescent="0.2">
      <c r="A519" s="29"/>
      <c r="B519" s="26"/>
      <c r="C519" s="26"/>
      <c r="D519" s="26"/>
      <c r="E519" s="26"/>
      <c r="F519" s="1"/>
      <c r="G519" s="1"/>
      <c r="H519" s="1"/>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2.75" x14ac:dyDescent="0.2">
      <c r="A520" s="29"/>
      <c r="B520" s="26"/>
      <c r="C520" s="26"/>
      <c r="D520" s="26"/>
      <c r="E520" s="26"/>
      <c r="F520" s="1"/>
      <c r="G520" s="1"/>
      <c r="H520" s="1"/>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2.75" x14ac:dyDescent="0.2">
      <c r="A521" s="29"/>
      <c r="B521" s="26"/>
      <c r="C521" s="26"/>
      <c r="D521" s="26"/>
      <c r="E521" s="26"/>
      <c r="F521" s="1"/>
      <c r="G521" s="1"/>
      <c r="H521" s="1"/>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2.75" x14ac:dyDescent="0.2">
      <c r="A522" s="29"/>
      <c r="B522" s="26"/>
      <c r="C522" s="26"/>
      <c r="D522" s="26"/>
      <c r="E522" s="26"/>
      <c r="F522" s="1"/>
      <c r="G522" s="1"/>
      <c r="H522" s="1"/>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2.75" x14ac:dyDescent="0.2">
      <c r="A523" s="29"/>
      <c r="B523" s="26"/>
      <c r="C523" s="26"/>
      <c r="D523" s="26"/>
      <c r="E523" s="26"/>
      <c r="F523" s="1"/>
      <c r="G523" s="1"/>
      <c r="H523" s="1"/>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2.75" x14ac:dyDescent="0.2">
      <c r="A524" s="29"/>
      <c r="B524" s="26"/>
      <c r="C524" s="26"/>
      <c r="D524" s="26"/>
      <c r="E524" s="26"/>
      <c r="F524" s="1"/>
      <c r="G524" s="1"/>
      <c r="H524" s="1"/>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2.75" x14ac:dyDescent="0.2">
      <c r="A525" s="29"/>
      <c r="B525" s="26"/>
      <c r="C525" s="26"/>
      <c r="D525" s="26"/>
      <c r="E525" s="26"/>
      <c r="F525" s="1"/>
      <c r="G525" s="1"/>
      <c r="H525" s="1"/>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2.75" x14ac:dyDescent="0.2">
      <c r="A526" s="29"/>
      <c r="B526" s="26"/>
      <c r="C526" s="26"/>
      <c r="D526" s="26"/>
      <c r="E526" s="26"/>
      <c r="F526" s="1"/>
      <c r="G526" s="1"/>
      <c r="H526" s="1"/>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2.75" x14ac:dyDescent="0.2">
      <c r="A527" s="29"/>
      <c r="B527" s="26"/>
      <c r="C527" s="26"/>
      <c r="D527" s="26"/>
      <c r="E527" s="26"/>
      <c r="F527" s="1"/>
      <c r="G527" s="1"/>
      <c r="H527" s="1"/>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2.75" x14ac:dyDescent="0.2">
      <c r="A528" s="29"/>
      <c r="B528" s="26"/>
      <c r="C528" s="26"/>
      <c r="D528" s="26"/>
      <c r="E528" s="26"/>
      <c r="F528" s="1"/>
      <c r="G528" s="1"/>
      <c r="H528" s="1"/>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2.75" x14ac:dyDescent="0.2">
      <c r="A529" s="29"/>
      <c r="B529" s="26"/>
      <c r="C529" s="26"/>
      <c r="D529" s="26"/>
      <c r="E529" s="26"/>
      <c r="F529" s="1"/>
      <c r="G529" s="1"/>
      <c r="H529" s="1"/>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2.75" x14ac:dyDescent="0.2">
      <c r="A530" s="29"/>
      <c r="B530" s="26"/>
      <c r="C530" s="26"/>
      <c r="D530" s="26"/>
      <c r="E530" s="26"/>
      <c r="F530" s="1"/>
      <c r="G530" s="1"/>
      <c r="H530" s="1"/>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2.75" x14ac:dyDescent="0.2">
      <c r="A531" s="29"/>
      <c r="B531" s="26"/>
      <c r="C531" s="26"/>
      <c r="D531" s="26"/>
      <c r="E531" s="26"/>
      <c r="F531" s="1"/>
      <c r="G531" s="1"/>
      <c r="H531" s="1"/>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2.75" x14ac:dyDescent="0.2">
      <c r="A532" s="29"/>
      <c r="B532" s="26"/>
      <c r="C532" s="26"/>
      <c r="D532" s="26"/>
      <c r="E532" s="26"/>
      <c r="F532" s="1"/>
      <c r="G532" s="1"/>
      <c r="H532" s="1"/>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2.75" x14ac:dyDescent="0.2">
      <c r="A533" s="29"/>
      <c r="B533" s="26"/>
      <c r="C533" s="26"/>
      <c r="D533" s="26"/>
      <c r="E533" s="26"/>
      <c r="F533" s="1"/>
      <c r="G533" s="1"/>
      <c r="H533" s="1"/>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2.75" x14ac:dyDescent="0.2">
      <c r="A534" s="29"/>
      <c r="B534" s="26"/>
      <c r="C534" s="26"/>
      <c r="D534" s="26"/>
      <c r="E534" s="26"/>
      <c r="F534" s="1"/>
      <c r="G534" s="1"/>
      <c r="H534" s="1"/>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2.75" x14ac:dyDescent="0.2">
      <c r="A535" s="29"/>
      <c r="B535" s="26"/>
      <c r="C535" s="26"/>
      <c r="D535" s="26"/>
      <c r="E535" s="26"/>
      <c r="F535" s="1"/>
      <c r="G535" s="1"/>
      <c r="H535" s="1"/>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2.75" x14ac:dyDescent="0.2">
      <c r="A536" s="29"/>
      <c r="B536" s="26"/>
      <c r="C536" s="26"/>
      <c r="D536" s="26"/>
      <c r="E536" s="26"/>
      <c r="F536" s="1"/>
      <c r="G536" s="1"/>
      <c r="H536" s="1"/>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2.75" x14ac:dyDescent="0.2">
      <c r="A537" s="29"/>
      <c r="B537" s="26"/>
      <c r="C537" s="26"/>
      <c r="D537" s="26"/>
      <c r="E537" s="26"/>
      <c r="F537" s="1"/>
      <c r="G537" s="1"/>
      <c r="H537" s="1"/>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2.75" x14ac:dyDescent="0.2">
      <c r="A538" s="29"/>
      <c r="B538" s="26"/>
      <c r="C538" s="26"/>
      <c r="D538" s="26"/>
      <c r="E538" s="26"/>
      <c r="F538" s="1"/>
      <c r="G538" s="1"/>
      <c r="H538" s="1"/>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2.75" x14ac:dyDescent="0.2">
      <c r="A539" s="29"/>
      <c r="B539" s="26"/>
      <c r="C539" s="26"/>
      <c r="D539" s="26"/>
      <c r="E539" s="26"/>
      <c r="F539" s="1"/>
      <c r="G539" s="1"/>
      <c r="H539" s="1"/>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2.75" x14ac:dyDescent="0.2">
      <c r="A540" s="29"/>
      <c r="B540" s="26"/>
      <c r="C540" s="26"/>
      <c r="D540" s="26"/>
      <c r="E540" s="26"/>
      <c r="F540" s="1"/>
      <c r="G540" s="1"/>
      <c r="H540" s="1"/>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2.75" x14ac:dyDescent="0.2">
      <c r="A541" s="29"/>
      <c r="B541" s="26"/>
      <c r="C541" s="26"/>
      <c r="D541" s="26"/>
      <c r="E541" s="26"/>
      <c r="F541" s="1"/>
      <c r="G541" s="1"/>
      <c r="H541" s="1"/>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2.75" x14ac:dyDescent="0.2">
      <c r="A542" s="29"/>
      <c r="B542" s="26"/>
      <c r="C542" s="26"/>
      <c r="D542" s="26"/>
      <c r="E542" s="26"/>
      <c r="F542" s="1"/>
      <c r="G542" s="1"/>
      <c r="H542" s="1"/>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2.75" x14ac:dyDescent="0.2">
      <c r="A543" s="29"/>
      <c r="B543" s="26"/>
      <c r="C543" s="26"/>
      <c r="D543" s="26"/>
      <c r="E543" s="26"/>
      <c r="F543" s="1"/>
      <c r="G543" s="1"/>
      <c r="H543" s="1"/>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2.75" x14ac:dyDescent="0.2">
      <c r="A544" s="29"/>
      <c r="B544" s="26"/>
      <c r="C544" s="26"/>
      <c r="D544" s="26"/>
      <c r="E544" s="26"/>
      <c r="F544" s="1"/>
      <c r="G544" s="1"/>
      <c r="H544" s="1"/>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2.75" x14ac:dyDescent="0.2">
      <c r="A545" s="29"/>
      <c r="B545" s="26"/>
      <c r="C545" s="26"/>
      <c r="D545" s="26"/>
      <c r="E545" s="26"/>
      <c r="F545" s="1"/>
      <c r="G545" s="1"/>
      <c r="H545" s="1"/>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2.75" x14ac:dyDescent="0.2">
      <c r="A546" s="29"/>
      <c r="B546" s="26"/>
      <c r="C546" s="26"/>
      <c r="D546" s="26"/>
      <c r="E546" s="26"/>
      <c r="F546" s="1"/>
      <c r="G546" s="1"/>
      <c r="H546" s="1"/>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2.75" x14ac:dyDescent="0.2">
      <c r="A547" s="29"/>
      <c r="B547" s="26"/>
      <c r="C547" s="26"/>
      <c r="D547" s="26"/>
      <c r="E547" s="26"/>
      <c r="F547" s="1"/>
      <c r="G547" s="1"/>
      <c r="H547" s="1"/>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2.75" x14ac:dyDescent="0.2">
      <c r="A548" s="29"/>
      <c r="B548" s="26"/>
      <c r="C548" s="26"/>
      <c r="D548" s="26"/>
      <c r="E548" s="26"/>
      <c r="F548" s="1"/>
      <c r="G548" s="1"/>
      <c r="H548" s="1"/>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2.75" x14ac:dyDescent="0.2">
      <c r="A549" s="29"/>
      <c r="B549" s="26"/>
      <c r="C549" s="26"/>
      <c r="D549" s="26"/>
      <c r="E549" s="26"/>
      <c r="F549" s="1"/>
      <c r="G549" s="1"/>
      <c r="H549" s="1"/>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2.75" x14ac:dyDescent="0.2">
      <c r="A550" s="29"/>
      <c r="B550" s="26"/>
      <c r="C550" s="26"/>
      <c r="D550" s="26"/>
      <c r="E550" s="26"/>
      <c r="F550" s="1"/>
      <c r="G550" s="1"/>
      <c r="H550" s="1"/>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2.75" x14ac:dyDescent="0.2">
      <c r="A551" s="29"/>
      <c r="B551" s="26"/>
      <c r="C551" s="26"/>
      <c r="D551" s="26"/>
      <c r="E551" s="26"/>
      <c r="F551" s="1"/>
      <c r="G551" s="1"/>
      <c r="H551" s="1"/>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2.75" x14ac:dyDescent="0.2">
      <c r="A552" s="29"/>
      <c r="B552" s="26"/>
      <c r="C552" s="26"/>
      <c r="D552" s="26"/>
      <c r="E552" s="26"/>
      <c r="F552" s="1"/>
      <c r="G552" s="1"/>
      <c r="H552" s="1"/>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2.75" x14ac:dyDescent="0.2">
      <c r="A553" s="29"/>
      <c r="B553" s="26"/>
      <c r="C553" s="26"/>
      <c r="D553" s="26"/>
      <c r="E553" s="26"/>
      <c r="F553" s="1"/>
      <c r="G553" s="1"/>
      <c r="H553" s="1"/>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2.75" x14ac:dyDescent="0.2">
      <c r="A554" s="29"/>
      <c r="B554" s="26"/>
      <c r="C554" s="26"/>
      <c r="D554" s="26"/>
      <c r="E554" s="26"/>
      <c r="F554" s="1"/>
      <c r="G554" s="1"/>
      <c r="H554" s="1"/>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2.75" x14ac:dyDescent="0.2">
      <c r="A555" s="29"/>
      <c r="B555" s="26"/>
      <c r="C555" s="26"/>
      <c r="D555" s="26"/>
      <c r="E555" s="26"/>
      <c r="F555" s="1"/>
      <c r="G555" s="1"/>
      <c r="H555" s="1"/>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2.75" x14ac:dyDescent="0.2">
      <c r="A556" s="29"/>
      <c r="B556" s="26"/>
      <c r="C556" s="26"/>
      <c r="D556" s="26"/>
      <c r="E556" s="26"/>
      <c r="F556" s="1"/>
      <c r="G556" s="1"/>
      <c r="H556" s="1"/>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2.75" x14ac:dyDescent="0.2">
      <c r="A557" s="29"/>
      <c r="B557" s="26"/>
      <c r="C557" s="26"/>
      <c r="D557" s="26"/>
      <c r="E557" s="26"/>
      <c r="F557" s="1"/>
      <c r="G557" s="1"/>
      <c r="H557" s="1"/>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2.75" x14ac:dyDescent="0.2">
      <c r="A558" s="29"/>
      <c r="B558" s="26"/>
      <c r="C558" s="26"/>
      <c r="D558" s="26"/>
      <c r="E558" s="26"/>
      <c r="F558" s="1"/>
      <c r="G558" s="1"/>
      <c r="H558" s="1"/>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2.75" x14ac:dyDescent="0.2">
      <c r="A559" s="29"/>
      <c r="B559" s="26"/>
      <c r="C559" s="26"/>
      <c r="D559" s="26"/>
      <c r="E559" s="26"/>
      <c r="F559" s="1"/>
      <c r="G559" s="1"/>
      <c r="H559" s="1"/>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2.75" x14ac:dyDescent="0.2">
      <c r="A560" s="29"/>
      <c r="B560" s="26"/>
      <c r="C560" s="26"/>
      <c r="D560" s="26"/>
      <c r="E560" s="26"/>
      <c r="F560" s="1"/>
      <c r="G560" s="1"/>
      <c r="H560" s="1"/>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2.75" x14ac:dyDescent="0.2">
      <c r="A561" s="29"/>
      <c r="B561" s="26"/>
      <c r="C561" s="26"/>
      <c r="D561" s="26"/>
      <c r="E561" s="26"/>
      <c r="F561" s="1"/>
      <c r="G561" s="1"/>
      <c r="H561" s="1"/>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2.75" x14ac:dyDescent="0.2">
      <c r="A562" s="29"/>
      <c r="B562" s="26"/>
      <c r="C562" s="26"/>
      <c r="D562" s="26"/>
      <c r="E562" s="26"/>
      <c r="F562" s="1"/>
      <c r="G562" s="1"/>
      <c r="H562" s="1"/>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2.75" x14ac:dyDescent="0.2">
      <c r="A563" s="29"/>
      <c r="B563" s="26"/>
      <c r="C563" s="26"/>
      <c r="D563" s="26"/>
      <c r="E563" s="26"/>
      <c r="F563" s="1"/>
      <c r="G563" s="1"/>
      <c r="H563" s="1"/>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2.75" x14ac:dyDescent="0.2">
      <c r="A564" s="29"/>
      <c r="B564" s="26"/>
      <c r="C564" s="26"/>
      <c r="D564" s="26"/>
      <c r="E564" s="26"/>
      <c r="F564" s="1"/>
      <c r="G564" s="1"/>
      <c r="H564" s="1"/>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2.75" x14ac:dyDescent="0.2">
      <c r="A565" s="29"/>
      <c r="B565" s="26"/>
      <c r="C565" s="26"/>
      <c r="D565" s="26"/>
      <c r="E565" s="26"/>
      <c r="F565" s="1"/>
      <c r="G565" s="1"/>
      <c r="H565" s="1"/>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2.75" x14ac:dyDescent="0.2">
      <c r="A566" s="29"/>
      <c r="B566" s="26"/>
      <c r="C566" s="26"/>
      <c r="D566" s="26"/>
      <c r="E566" s="26"/>
      <c r="F566" s="1"/>
      <c r="G566" s="1"/>
      <c r="H566" s="1"/>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2.75" x14ac:dyDescent="0.2">
      <c r="A567" s="29"/>
      <c r="B567" s="26"/>
      <c r="C567" s="26"/>
      <c r="D567" s="26"/>
      <c r="E567" s="26"/>
      <c r="F567" s="1"/>
      <c r="G567" s="1"/>
      <c r="H567" s="1"/>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2.75" x14ac:dyDescent="0.2">
      <c r="A568" s="29"/>
      <c r="B568" s="26"/>
      <c r="C568" s="26"/>
      <c r="D568" s="26"/>
      <c r="E568" s="26"/>
      <c r="F568" s="1"/>
      <c r="G568" s="1"/>
      <c r="H568" s="1"/>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2.75" x14ac:dyDescent="0.2">
      <c r="A569" s="29"/>
      <c r="B569" s="26"/>
      <c r="C569" s="26"/>
      <c r="D569" s="26"/>
      <c r="E569" s="26"/>
      <c r="F569" s="1"/>
      <c r="G569" s="1"/>
      <c r="H569" s="1"/>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2.75" x14ac:dyDescent="0.2">
      <c r="A570" s="29"/>
      <c r="B570" s="26"/>
      <c r="C570" s="26"/>
      <c r="D570" s="26"/>
      <c r="E570" s="26"/>
      <c r="F570" s="1"/>
      <c r="G570" s="1"/>
      <c r="H570" s="1"/>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2.75" x14ac:dyDescent="0.2">
      <c r="A571" s="29"/>
      <c r="B571" s="26"/>
      <c r="C571" s="26"/>
      <c r="D571" s="26"/>
      <c r="E571" s="26"/>
      <c r="F571" s="1"/>
      <c r="G571" s="1"/>
      <c r="H571" s="1"/>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2.75" x14ac:dyDescent="0.2">
      <c r="A572" s="29"/>
      <c r="B572" s="26"/>
      <c r="C572" s="26"/>
      <c r="D572" s="26"/>
      <c r="E572" s="26"/>
      <c r="F572" s="1"/>
      <c r="G572" s="1"/>
      <c r="H572" s="1"/>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2.75" x14ac:dyDescent="0.2">
      <c r="A573" s="29"/>
      <c r="B573" s="26"/>
      <c r="C573" s="26"/>
      <c r="D573" s="26"/>
      <c r="E573" s="26"/>
      <c r="F573" s="1"/>
      <c r="G573" s="1"/>
      <c r="H573" s="1"/>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2.75" x14ac:dyDescent="0.2">
      <c r="A574" s="29"/>
      <c r="B574" s="26"/>
      <c r="C574" s="26"/>
      <c r="D574" s="26"/>
      <c r="E574" s="26"/>
      <c r="F574" s="1"/>
      <c r="G574" s="1"/>
      <c r="H574" s="1"/>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2.75" x14ac:dyDescent="0.2">
      <c r="A575" s="29"/>
      <c r="B575" s="26"/>
      <c r="C575" s="26"/>
      <c r="D575" s="26"/>
      <c r="E575" s="26"/>
      <c r="F575" s="1"/>
      <c r="G575" s="1"/>
      <c r="H575" s="1"/>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2.75" x14ac:dyDescent="0.2">
      <c r="A576" s="29"/>
      <c r="B576" s="26"/>
      <c r="C576" s="26"/>
      <c r="D576" s="26"/>
      <c r="E576" s="26"/>
      <c r="F576" s="1"/>
      <c r="G576" s="1"/>
      <c r="H576" s="1"/>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2.75" x14ac:dyDescent="0.2">
      <c r="A577" s="29"/>
      <c r="B577" s="26"/>
      <c r="C577" s="26"/>
      <c r="D577" s="26"/>
      <c r="E577" s="26"/>
      <c r="F577" s="1"/>
      <c r="G577" s="1"/>
      <c r="H577" s="1"/>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2.75" x14ac:dyDescent="0.2">
      <c r="A578" s="29"/>
      <c r="B578" s="26"/>
      <c r="C578" s="26"/>
      <c r="D578" s="26"/>
      <c r="E578" s="26"/>
      <c r="F578" s="1"/>
      <c r="G578" s="1"/>
      <c r="H578" s="1"/>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2.75" x14ac:dyDescent="0.2">
      <c r="A579" s="29"/>
      <c r="B579" s="26"/>
      <c r="C579" s="26"/>
      <c r="D579" s="26"/>
      <c r="E579" s="26"/>
      <c r="F579" s="1"/>
      <c r="G579" s="1"/>
      <c r="H579" s="1"/>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2.75" x14ac:dyDescent="0.2">
      <c r="A580" s="29"/>
      <c r="B580" s="26"/>
      <c r="C580" s="26"/>
      <c r="D580" s="26"/>
      <c r="E580" s="26"/>
      <c r="F580" s="1"/>
      <c r="G580" s="1"/>
      <c r="H580" s="1"/>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2.75" x14ac:dyDescent="0.2">
      <c r="A581" s="29"/>
      <c r="B581" s="26"/>
      <c r="C581" s="26"/>
      <c r="D581" s="26"/>
      <c r="E581" s="26"/>
      <c r="F581" s="1"/>
      <c r="G581" s="1"/>
      <c r="H581" s="1"/>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2.75" x14ac:dyDescent="0.2">
      <c r="A582" s="29"/>
      <c r="B582" s="26"/>
      <c r="C582" s="26"/>
      <c r="D582" s="26"/>
      <c r="E582" s="26"/>
      <c r="F582" s="1"/>
      <c r="G582" s="1"/>
      <c r="H582" s="1"/>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2.75" x14ac:dyDescent="0.2">
      <c r="A583" s="29"/>
      <c r="B583" s="26"/>
      <c r="C583" s="26"/>
      <c r="D583" s="26"/>
      <c r="E583" s="26"/>
      <c r="F583" s="1"/>
      <c r="G583" s="1"/>
      <c r="H583" s="1"/>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2.75" x14ac:dyDescent="0.2">
      <c r="A584" s="29"/>
      <c r="B584" s="26"/>
      <c r="C584" s="26"/>
      <c r="D584" s="26"/>
      <c r="E584" s="26"/>
      <c r="F584" s="1"/>
      <c r="G584" s="1"/>
      <c r="H584" s="1"/>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2.75" x14ac:dyDescent="0.2">
      <c r="A585" s="29"/>
      <c r="B585" s="26"/>
      <c r="C585" s="26"/>
      <c r="D585" s="26"/>
      <c r="E585" s="26"/>
      <c r="F585" s="1"/>
      <c r="G585" s="1"/>
      <c r="H585" s="1"/>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2.75" x14ac:dyDescent="0.2">
      <c r="A586" s="29"/>
      <c r="B586" s="26"/>
      <c r="C586" s="26"/>
      <c r="D586" s="26"/>
      <c r="E586" s="26"/>
      <c r="F586" s="1"/>
      <c r="G586" s="1"/>
      <c r="H586" s="1"/>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2.75" x14ac:dyDescent="0.2">
      <c r="A587" s="29"/>
      <c r="B587" s="26"/>
      <c r="C587" s="26"/>
      <c r="D587" s="26"/>
      <c r="E587" s="26"/>
      <c r="F587" s="1"/>
      <c r="G587" s="1"/>
      <c r="H587" s="1"/>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2.75" x14ac:dyDescent="0.2">
      <c r="A588" s="29"/>
      <c r="B588" s="26"/>
      <c r="C588" s="26"/>
      <c r="D588" s="26"/>
      <c r="E588" s="26"/>
      <c r="F588" s="1"/>
      <c r="G588" s="1"/>
      <c r="H588" s="1"/>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2.75" x14ac:dyDescent="0.2">
      <c r="A589" s="29"/>
      <c r="B589" s="26"/>
      <c r="C589" s="26"/>
      <c r="D589" s="26"/>
      <c r="E589" s="26"/>
      <c r="F589" s="1"/>
      <c r="G589" s="1"/>
      <c r="H589" s="1"/>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2.75" x14ac:dyDescent="0.2">
      <c r="A590" s="29"/>
      <c r="B590" s="26"/>
      <c r="C590" s="26"/>
      <c r="D590" s="26"/>
      <c r="E590" s="26"/>
      <c r="F590" s="1"/>
      <c r="G590" s="1"/>
      <c r="H590" s="1"/>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2.75" x14ac:dyDescent="0.2">
      <c r="A591" s="29"/>
      <c r="B591" s="26"/>
      <c r="C591" s="26"/>
      <c r="D591" s="26"/>
      <c r="E591" s="26"/>
      <c r="F591" s="1"/>
      <c r="G591" s="1"/>
      <c r="H591" s="1"/>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2.75" x14ac:dyDescent="0.2">
      <c r="A592" s="29"/>
      <c r="B592" s="26"/>
      <c r="C592" s="26"/>
      <c r="D592" s="26"/>
      <c r="E592" s="26"/>
      <c r="F592" s="1"/>
      <c r="G592" s="1"/>
      <c r="H592" s="1"/>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2.75" x14ac:dyDescent="0.2">
      <c r="A593" s="29"/>
      <c r="B593" s="26"/>
      <c r="C593" s="26"/>
      <c r="D593" s="26"/>
      <c r="E593" s="26"/>
      <c r="F593" s="1"/>
      <c r="G593" s="1"/>
      <c r="H593" s="1"/>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2.75" x14ac:dyDescent="0.2">
      <c r="A594" s="29"/>
      <c r="B594" s="26"/>
      <c r="C594" s="26"/>
      <c r="D594" s="26"/>
      <c r="E594" s="26"/>
      <c r="F594" s="1"/>
      <c r="G594" s="1"/>
      <c r="H594" s="1"/>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2.75" x14ac:dyDescent="0.2">
      <c r="A595" s="29"/>
      <c r="B595" s="26"/>
      <c r="C595" s="26"/>
      <c r="D595" s="26"/>
      <c r="E595" s="26"/>
      <c r="F595" s="1"/>
      <c r="G595" s="1"/>
      <c r="H595" s="1"/>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2.75" x14ac:dyDescent="0.2">
      <c r="A596" s="29"/>
      <c r="B596" s="26"/>
      <c r="C596" s="26"/>
      <c r="D596" s="26"/>
      <c r="E596" s="26"/>
      <c r="F596" s="1"/>
      <c r="G596" s="1"/>
      <c r="H596" s="1"/>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2.75" x14ac:dyDescent="0.2">
      <c r="A597" s="29"/>
      <c r="B597" s="26"/>
      <c r="C597" s="26"/>
      <c r="D597" s="26"/>
      <c r="E597" s="26"/>
      <c r="F597" s="1"/>
      <c r="G597" s="1"/>
      <c r="H597" s="1"/>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2.75" x14ac:dyDescent="0.2">
      <c r="A598" s="29"/>
      <c r="B598" s="26"/>
      <c r="C598" s="26"/>
      <c r="D598" s="26"/>
      <c r="E598" s="26"/>
      <c r="F598" s="1"/>
      <c r="G598" s="1"/>
      <c r="H598" s="1"/>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2.75" x14ac:dyDescent="0.2">
      <c r="A599" s="29"/>
      <c r="B599" s="26"/>
      <c r="C599" s="26"/>
      <c r="D599" s="26"/>
      <c r="E599" s="26"/>
      <c r="F599" s="1"/>
      <c r="G599" s="1"/>
      <c r="H599" s="1"/>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2.75" x14ac:dyDescent="0.2">
      <c r="A600" s="29"/>
      <c r="B600" s="26"/>
      <c r="C600" s="26"/>
      <c r="D600" s="26"/>
      <c r="E600" s="26"/>
      <c r="F600" s="1"/>
      <c r="G600" s="1"/>
      <c r="H600" s="1"/>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2.75" x14ac:dyDescent="0.2">
      <c r="A601" s="29"/>
      <c r="B601" s="26"/>
      <c r="C601" s="26"/>
      <c r="D601" s="26"/>
      <c r="E601" s="26"/>
      <c r="F601" s="1"/>
      <c r="G601" s="1"/>
      <c r="H601" s="1"/>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2.75" x14ac:dyDescent="0.2">
      <c r="A602" s="29"/>
      <c r="B602" s="26"/>
      <c r="C602" s="26"/>
      <c r="D602" s="26"/>
      <c r="E602" s="26"/>
      <c r="F602" s="1"/>
      <c r="G602" s="1"/>
      <c r="H602" s="1"/>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2.75" x14ac:dyDescent="0.2">
      <c r="A603" s="29"/>
      <c r="B603" s="26"/>
      <c r="C603" s="26"/>
      <c r="D603" s="26"/>
      <c r="E603" s="26"/>
      <c r="F603" s="1"/>
      <c r="G603" s="1"/>
      <c r="H603" s="1"/>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2.75" x14ac:dyDescent="0.2">
      <c r="A604" s="29"/>
      <c r="B604" s="26"/>
      <c r="C604" s="26"/>
      <c r="D604" s="26"/>
      <c r="E604" s="26"/>
      <c r="F604" s="1"/>
      <c r="G604" s="1"/>
      <c r="H604" s="1"/>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2.75" x14ac:dyDescent="0.2">
      <c r="A605" s="29"/>
      <c r="B605" s="26"/>
      <c r="C605" s="26"/>
      <c r="D605" s="26"/>
      <c r="E605" s="26"/>
      <c r="F605" s="1"/>
      <c r="G605" s="1"/>
      <c r="H605" s="1"/>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2.75" x14ac:dyDescent="0.2">
      <c r="A606" s="29"/>
      <c r="B606" s="26"/>
      <c r="C606" s="26"/>
      <c r="D606" s="26"/>
      <c r="E606" s="26"/>
      <c r="F606" s="1"/>
      <c r="G606" s="1"/>
      <c r="H606" s="1"/>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2.75" x14ac:dyDescent="0.2">
      <c r="A607" s="29"/>
      <c r="B607" s="26"/>
      <c r="C607" s="26"/>
      <c r="D607" s="26"/>
      <c r="E607" s="26"/>
      <c r="F607" s="1"/>
      <c r="G607" s="1"/>
      <c r="H607" s="1"/>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2.75" x14ac:dyDescent="0.2">
      <c r="A608" s="29"/>
      <c r="B608" s="26"/>
      <c r="C608" s="26"/>
      <c r="D608" s="26"/>
      <c r="E608" s="26"/>
      <c r="F608" s="1"/>
      <c r="G608" s="1"/>
      <c r="H608" s="1"/>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2.75" x14ac:dyDescent="0.2">
      <c r="A609" s="29"/>
      <c r="B609" s="26"/>
      <c r="C609" s="26"/>
      <c r="D609" s="26"/>
      <c r="E609" s="26"/>
      <c r="F609" s="1"/>
      <c r="G609" s="1"/>
      <c r="H609" s="1"/>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2.75" x14ac:dyDescent="0.2">
      <c r="A610" s="29"/>
      <c r="B610" s="26"/>
      <c r="C610" s="26"/>
      <c r="D610" s="26"/>
      <c r="E610" s="26"/>
      <c r="F610" s="1"/>
      <c r="G610" s="1"/>
      <c r="H610" s="1"/>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2.75" x14ac:dyDescent="0.2">
      <c r="A611" s="29"/>
      <c r="B611" s="26"/>
      <c r="C611" s="26"/>
      <c r="D611" s="26"/>
      <c r="E611" s="26"/>
      <c r="F611" s="1"/>
      <c r="G611" s="1"/>
      <c r="H611" s="1"/>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2.75" x14ac:dyDescent="0.2">
      <c r="A612" s="29"/>
      <c r="B612" s="26"/>
      <c r="C612" s="26"/>
      <c r="D612" s="26"/>
      <c r="E612" s="26"/>
      <c r="F612" s="1"/>
      <c r="G612" s="1"/>
      <c r="H612" s="1"/>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2.75" x14ac:dyDescent="0.2">
      <c r="A613" s="29"/>
      <c r="B613" s="26"/>
      <c r="C613" s="26"/>
      <c r="D613" s="26"/>
      <c r="E613" s="26"/>
      <c r="F613" s="1"/>
      <c r="G613" s="1"/>
      <c r="H613" s="1"/>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2.75" x14ac:dyDescent="0.2">
      <c r="A614" s="29"/>
      <c r="B614" s="26"/>
      <c r="C614" s="26"/>
      <c r="D614" s="26"/>
      <c r="E614" s="26"/>
      <c r="F614" s="1"/>
      <c r="G614" s="1"/>
      <c r="H614" s="1"/>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2.75" x14ac:dyDescent="0.2">
      <c r="A615" s="29"/>
      <c r="B615" s="26"/>
      <c r="C615" s="26"/>
      <c r="D615" s="26"/>
      <c r="E615" s="26"/>
      <c r="F615" s="1"/>
      <c r="G615" s="1"/>
      <c r="H615" s="1"/>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2.75" x14ac:dyDescent="0.2">
      <c r="A616" s="29"/>
      <c r="B616" s="26"/>
      <c r="C616" s="26"/>
      <c r="D616" s="26"/>
      <c r="E616" s="26"/>
      <c r="F616" s="1"/>
      <c r="G616" s="1"/>
      <c r="H616" s="1"/>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2.75" x14ac:dyDescent="0.2">
      <c r="A617" s="29"/>
      <c r="B617" s="26"/>
      <c r="C617" s="26"/>
      <c r="D617" s="26"/>
      <c r="E617" s="26"/>
      <c r="F617" s="1"/>
      <c r="G617" s="1"/>
      <c r="H617" s="1"/>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2.75" x14ac:dyDescent="0.2">
      <c r="A618" s="29"/>
      <c r="B618" s="26"/>
      <c r="C618" s="26"/>
      <c r="D618" s="26"/>
      <c r="E618" s="26"/>
      <c r="F618" s="1"/>
      <c r="G618" s="1"/>
      <c r="H618" s="1"/>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2.75" x14ac:dyDescent="0.2">
      <c r="A619" s="29"/>
      <c r="B619" s="26"/>
      <c r="C619" s="26"/>
      <c r="D619" s="26"/>
      <c r="E619" s="26"/>
      <c r="F619" s="1"/>
      <c r="G619" s="1"/>
      <c r="H619" s="1"/>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2.75" x14ac:dyDescent="0.2">
      <c r="A620" s="29"/>
      <c r="B620" s="26"/>
      <c r="C620" s="26"/>
      <c r="D620" s="26"/>
      <c r="E620" s="26"/>
      <c r="F620" s="1"/>
      <c r="G620" s="1"/>
      <c r="H620" s="1"/>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2.75" x14ac:dyDescent="0.2">
      <c r="A621" s="29"/>
      <c r="B621" s="26"/>
      <c r="C621" s="26"/>
      <c r="D621" s="26"/>
      <c r="E621" s="26"/>
      <c r="F621" s="1"/>
      <c r="G621" s="1"/>
      <c r="H621" s="1"/>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2.75" x14ac:dyDescent="0.2">
      <c r="A622" s="29"/>
      <c r="B622" s="26"/>
      <c r="C622" s="26"/>
      <c r="D622" s="26"/>
      <c r="E622" s="26"/>
      <c r="F622" s="1"/>
      <c r="G622" s="1"/>
      <c r="H622" s="1"/>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2.75" x14ac:dyDescent="0.2">
      <c r="A623" s="29"/>
      <c r="B623" s="26"/>
      <c r="C623" s="26"/>
      <c r="D623" s="26"/>
      <c r="E623" s="26"/>
      <c r="F623" s="1"/>
      <c r="G623" s="1"/>
      <c r="H623" s="1"/>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2.75" x14ac:dyDescent="0.2">
      <c r="A624" s="29"/>
      <c r="B624" s="26"/>
      <c r="C624" s="26"/>
      <c r="D624" s="26"/>
      <c r="E624" s="26"/>
      <c r="F624" s="1"/>
      <c r="G624" s="1"/>
      <c r="H624" s="1"/>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2.75" x14ac:dyDescent="0.2">
      <c r="A625" s="29"/>
      <c r="B625" s="26"/>
      <c r="C625" s="26"/>
      <c r="D625" s="26"/>
      <c r="E625" s="26"/>
      <c r="F625" s="1"/>
      <c r="G625" s="1"/>
      <c r="H625" s="1"/>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2.75" x14ac:dyDescent="0.2">
      <c r="A626" s="29"/>
      <c r="B626" s="26"/>
      <c r="C626" s="26"/>
      <c r="D626" s="26"/>
      <c r="E626" s="26"/>
      <c r="F626" s="1"/>
      <c r="G626" s="1"/>
      <c r="H626" s="1"/>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2.75" x14ac:dyDescent="0.2">
      <c r="A627" s="29"/>
      <c r="B627" s="26"/>
      <c r="C627" s="26"/>
      <c r="D627" s="26"/>
      <c r="E627" s="26"/>
      <c r="F627" s="1"/>
      <c r="G627" s="1"/>
      <c r="H627" s="1"/>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2.75" x14ac:dyDescent="0.2">
      <c r="A628" s="29"/>
      <c r="B628" s="26"/>
      <c r="C628" s="26"/>
      <c r="D628" s="26"/>
      <c r="E628" s="26"/>
      <c r="F628" s="1"/>
      <c r="G628" s="1"/>
      <c r="H628" s="1"/>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2.75" x14ac:dyDescent="0.2">
      <c r="A629" s="29"/>
      <c r="B629" s="26"/>
      <c r="C629" s="26"/>
      <c r="D629" s="26"/>
      <c r="E629" s="26"/>
      <c r="F629" s="1"/>
      <c r="G629" s="1"/>
      <c r="H629" s="1"/>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2.75" x14ac:dyDescent="0.2">
      <c r="A630" s="29"/>
      <c r="B630" s="26"/>
      <c r="C630" s="26"/>
      <c r="D630" s="26"/>
      <c r="E630" s="26"/>
      <c r="F630" s="1"/>
      <c r="G630" s="1"/>
      <c r="H630" s="1"/>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2.75" x14ac:dyDescent="0.2">
      <c r="A631" s="29"/>
      <c r="B631" s="26"/>
      <c r="C631" s="26"/>
      <c r="D631" s="26"/>
      <c r="E631" s="26"/>
      <c r="F631" s="1"/>
      <c r="G631" s="1"/>
      <c r="H631" s="1"/>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2.75" x14ac:dyDescent="0.2">
      <c r="A632" s="29"/>
      <c r="B632" s="26"/>
      <c r="C632" s="26"/>
      <c r="D632" s="26"/>
      <c r="E632" s="26"/>
      <c r="F632" s="1"/>
      <c r="G632" s="1"/>
      <c r="H632" s="1"/>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2.75" x14ac:dyDescent="0.2">
      <c r="A633" s="29"/>
      <c r="B633" s="26"/>
      <c r="C633" s="26"/>
      <c r="D633" s="26"/>
      <c r="E633" s="26"/>
      <c r="F633" s="1"/>
      <c r="G633" s="1"/>
      <c r="H633" s="1"/>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2.75" x14ac:dyDescent="0.2">
      <c r="A634" s="29"/>
      <c r="B634" s="26"/>
      <c r="C634" s="26"/>
      <c r="D634" s="26"/>
      <c r="E634" s="26"/>
      <c r="F634" s="1"/>
      <c r="G634" s="1"/>
      <c r="H634" s="1"/>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2.75" x14ac:dyDescent="0.2">
      <c r="A635" s="29"/>
      <c r="B635" s="26"/>
      <c r="C635" s="26"/>
      <c r="D635" s="26"/>
      <c r="E635" s="26"/>
      <c r="F635" s="1"/>
      <c r="G635" s="1"/>
      <c r="H635" s="1"/>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2.75" x14ac:dyDescent="0.2">
      <c r="A636" s="29"/>
      <c r="B636" s="26"/>
      <c r="C636" s="26"/>
      <c r="D636" s="26"/>
      <c r="E636" s="26"/>
      <c r="F636" s="1"/>
      <c r="G636" s="1"/>
      <c r="H636" s="1"/>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2.75" x14ac:dyDescent="0.2">
      <c r="A637" s="29"/>
      <c r="B637" s="26"/>
      <c r="C637" s="26"/>
      <c r="D637" s="26"/>
      <c r="E637" s="26"/>
      <c r="F637" s="1"/>
      <c r="G637" s="1"/>
      <c r="H637" s="1"/>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2.75" x14ac:dyDescent="0.2">
      <c r="A638" s="29"/>
      <c r="B638" s="26"/>
      <c r="C638" s="26"/>
      <c r="D638" s="26"/>
      <c r="E638" s="26"/>
      <c r="F638" s="1"/>
      <c r="G638" s="1"/>
      <c r="H638" s="1"/>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2.75" x14ac:dyDescent="0.2">
      <c r="A639" s="29"/>
      <c r="B639" s="26"/>
      <c r="C639" s="26"/>
      <c r="D639" s="26"/>
      <c r="E639" s="26"/>
      <c r="F639" s="1"/>
      <c r="G639" s="1"/>
      <c r="H639" s="1"/>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2.75" x14ac:dyDescent="0.2">
      <c r="A640" s="29"/>
      <c r="B640" s="26"/>
      <c r="C640" s="26"/>
      <c r="D640" s="26"/>
      <c r="E640" s="26"/>
      <c r="F640" s="1"/>
      <c r="G640" s="1"/>
      <c r="H640" s="1"/>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2.75" x14ac:dyDescent="0.2">
      <c r="A641" s="29"/>
      <c r="B641" s="26"/>
      <c r="C641" s="26"/>
      <c r="D641" s="26"/>
      <c r="E641" s="26"/>
      <c r="F641" s="1"/>
      <c r="G641" s="1"/>
      <c r="H641" s="1"/>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2.75" x14ac:dyDescent="0.2">
      <c r="A642" s="29"/>
      <c r="B642" s="26"/>
      <c r="C642" s="26"/>
      <c r="D642" s="26"/>
      <c r="E642" s="26"/>
      <c r="F642" s="1"/>
      <c r="G642" s="1"/>
      <c r="H642" s="1"/>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2.75" x14ac:dyDescent="0.2">
      <c r="A643" s="29"/>
      <c r="B643" s="26"/>
      <c r="C643" s="26"/>
      <c r="D643" s="26"/>
      <c r="E643" s="26"/>
      <c r="F643" s="1"/>
      <c r="G643" s="1"/>
      <c r="H643" s="1"/>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2.75" x14ac:dyDescent="0.2">
      <c r="A644" s="29"/>
      <c r="B644" s="26"/>
      <c r="C644" s="26"/>
      <c r="D644" s="26"/>
      <c r="E644" s="26"/>
      <c r="F644" s="1"/>
      <c r="G644" s="1"/>
      <c r="H644" s="1"/>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2.75" x14ac:dyDescent="0.2">
      <c r="A645" s="29"/>
      <c r="B645" s="26"/>
      <c r="C645" s="26"/>
      <c r="D645" s="26"/>
      <c r="E645" s="26"/>
      <c r="F645" s="1"/>
      <c r="G645" s="1"/>
      <c r="H645" s="1"/>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2.75" x14ac:dyDescent="0.2">
      <c r="A646" s="29"/>
      <c r="B646" s="26"/>
      <c r="C646" s="26"/>
      <c r="D646" s="26"/>
      <c r="E646" s="26"/>
      <c r="F646" s="1"/>
      <c r="G646" s="1"/>
      <c r="H646" s="1"/>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2.75" x14ac:dyDescent="0.2">
      <c r="A647" s="29"/>
      <c r="B647" s="26"/>
      <c r="C647" s="26"/>
      <c r="D647" s="26"/>
      <c r="E647" s="26"/>
      <c r="F647" s="1"/>
      <c r="G647" s="1"/>
      <c r="H647" s="1"/>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2.75" x14ac:dyDescent="0.2">
      <c r="A648" s="29"/>
      <c r="B648" s="26"/>
      <c r="C648" s="26"/>
      <c r="D648" s="26"/>
      <c r="E648" s="26"/>
      <c r="F648" s="1"/>
      <c r="G648" s="1"/>
      <c r="H648" s="1"/>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2.75" x14ac:dyDescent="0.2">
      <c r="A649" s="29"/>
      <c r="B649" s="26"/>
      <c r="C649" s="26"/>
      <c r="D649" s="26"/>
      <c r="E649" s="26"/>
      <c r="F649" s="1"/>
      <c r="G649" s="1"/>
      <c r="H649" s="1"/>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2.75" x14ac:dyDescent="0.2">
      <c r="A650" s="29"/>
      <c r="B650" s="26"/>
      <c r="C650" s="26"/>
      <c r="D650" s="26"/>
      <c r="E650" s="26"/>
      <c r="F650" s="1"/>
      <c r="G650" s="1"/>
      <c r="H650" s="1"/>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2.75" x14ac:dyDescent="0.2">
      <c r="A651" s="29"/>
      <c r="B651" s="26"/>
      <c r="C651" s="26"/>
      <c r="D651" s="26"/>
      <c r="E651" s="26"/>
      <c r="F651" s="1"/>
      <c r="G651" s="1"/>
      <c r="H651" s="1"/>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2.75" x14ac:dyDescent="0.2">
      <c r="A652" s="29"/>
      <c r="B652" s="26"/>
      <c r="C652" s="26"/>
      <c r="D652" s="26"/>
      <c r="E652" s="26"/>
      <c r="F652" s="1"/>
      <c r="G652" s="1"/>
      <c r="H652" s="1"/>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2.75" x14ac:dyDescent="0.2">
      <c r="A653" s="29"/>
      <c r="B653" s="26"/>
      <c r="C653" s="26"/>
      <c r="D653" s="26"/>
      <c r="E653" s="26"/>
      <c r="F653" s="1"/>
      <c r="G653" s="1"/>
      <c r="H653" s="1"/>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2.75" x14ac:dyDescent="0.2">
      <c r="A654" s="29"/>
      <c r="B654" s="26"/>
      <c r="C654" s="26"/>
      <c r="D654" s="26"/>
      <c r="E654" s="26"/>
      <c r="F654" s="1"/>
      <c r="G654" s="1"/>
      <c r="H654" s="1"/>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2.75" x14ac:dyDescent="0.2">
      <c r="A655" s="29"/>
      <c r="B655" s="26"/>
      <c r="C655" s="26"/>
      <c r="D655" s="26"/>
      <c r="E655" s="26"/>
      <c r="F655" s="1"/>
      <c r="G655" s="1"/>
      <c r="H655" s="1"/>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2.75" x14ac:dyDescent="0.2">
      <c r="A656" s="29"/>
      <c r="B656" s="26"/>
      <c r="C656" s="26"/>
      <c r="D656" s="26"/>
      <c r="E656" s="26"/>
      <c r="F656" s="1"/>
      <c r="G656" s="1"/>
      <c r="H656" s="1"/>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2.75" x14ac:dyDescent="0.2">
      <c r="A657" s="29"/>
      <c r="B657" s="26"/>
      <c r="C657" s="26"/>
      <c r="D657" s="26"/>
      <c r="E657" s="26"/>
      <c r="F657" s="1"/>
      <c r="G657" s="1"/>
      <c r="H657" s="1"/>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2.75" x14ac:dyDescent="0.2">
      <c r="A658" s="29"/>
      <c r="B658" s="26"/>
      <c r="C658" s="26"/>
      <c r="D658" s="26"/>
      <c r="E658" s="26"/>
      <c r="F658" s="1"/>
      <c r="G658" s="1"/>
      <c r="H658" s="1"/>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2.75" x14ac:dyDescent="0.2">
      <c r="A659" s="29"/>
      <c r="B659" s="26"/>
      <c r="C659" s="26"/>
      <c r="D659" s="26"/>
      <c r="E659" s="26"/>
      <c r="F659" s="1"/>
      <c r="G659" s="1"/>
      <c r="H659" s="1"/>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2.75" x14ac:dyDescent="0.2">
      <c r="A660" s="29"/>
      <c r="B660" s="26"/>
      <c r="C660" s="26"/>
      <c r="D660" s="26"/>
      <c r="E660" s="26"/>
      <c r="F660" s="1"/>
      <c r="G660" s="1"/>
      <c r="H660" s="1"/>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2.75" x14ac:dyDescent="0.2">
      <c r="A661" s="29"/>
      <c r="B661" s="26"/>
      <c r="C661" s="26"/>
      <c r="D661" s="26"/>
      <c r="E661" s="26"/>
      <c r="F661" s="1"/>
      <c r="G661" s="1"/>
      <c r="H661" s="1"/>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2.75" x14ac:dyDescent="0.2">
      <c r="A662" s="29"/>
      <c r="B662" s="26"/>
      <c r="C662" s="26"/>
      <c r="D662" s="26"/>
      <c r="E662" s="26"/>
      <c r="F662" s="1"/>
      <c r="G662" s="1"/>
      <c r="H662" s="1"/>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2.75" x14ac:dyDescent="0.2">
      <c r="A663" s="29"/>
      <c r="B663" s="26"/>
      <c r="C663" s="26"/>
      <c r="D663" s="26"/>
      <c r="E663" s="26"/>
      <c r="F663" s="1"/>
      <c r="G663" s="1"/>
      <c r="H663" s="1"/>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2.75" x14ac:dyDescent="0.2">
      <c r="A664" s="29"/>
      <c r="B664" s="26"/>
      <c r="C664" s="26"/>
      <c r="D664" s="26"/>
      <c r="E664" s="26"/>
      <c r="F664" s="1"/>
      <c r="G664" s="1"/>
      <c r="H664" s="1"/>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2.75" x14ac:dyDescent="0.2">
      <c r="A665" s="29"/>
      <c r="B665" s="26"/>
      <c r="C665" s="26"/>
      <c r="D665" s="26"/>
      <c r="E665" s="26"/>
      <c r="F665" s="1"/>
      <c r="G665" s="1"/>
      <c r="H665" s="1"/>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2.75" x14ac:dyDescent="0.2">
      <c r="A666" s="29"/>
      <c r="B666" s="26"/>
      <c r="C666" s="26"/>
      <c r="D666" s="26"/>
      <c r="E666" s="26"/>
      <c r="F666" s="1"/>
      <c r="G666" s="1"/>
      <c r="H666" s="1"/>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2.75" x14ac:dyDescent="0.2">
      <c r="A667" s="29"/>
      <c r="B667" s="26"/>
      <c r="C667" s="26"/>
      <c r="D667" s="26"/>
      <c r="E667" s="26"/>
      <c r="F667" s="1"/>
      <c r="G667" s="1"/>
      <c r="H667" s="1"/>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2.75" x14ac:dyDescent="0.2">
      <c r="A668" s="29"/>
      <c r="B668" s="26"/>
      <c r="C668" s="26"/>
      <c r="D668" s="26"/>
      <c r="E668" s="26"/>
      <c r="F668" s="1"/>
      <c r="G668" s="1"/>
      <c r="H668" s="1"/>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2.75" x14ac:dyDescent="0.2">
      <c r="A669" s="29"/>
      <c r="B669" s="26"/>
      <c r="C669" s="26"/>
      <c r="D669" s="26"/>
      <c r="E669" s="26"/>
      <c r="F669" s="1"/>
      <c r="G669" s="1"/>
      <c r="H669" s="1"/>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2.75" x14ac:dyDescent="0.2">
      <c r="A670" s="29"/>
      <c r="B670" s="26"/>
      <c r="C670" s="26"/>
      <c r="D670" s="26"/>
      <c r="E670" s="26"/>
      <c r="F670" s="1"/>
      <c r="G670" s="1"/>
      <c r="H670" s="1"/>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2.75" x14ac:dyDescent="0.2">
      <c r="A671" s="29"/>
      <c r="B671" s="26"/>
      <c r="C671" s="26"/>
      <c r="D671" s="26"/>
      <c r="E671" s="26"/>
      <c r="F671" s="1"/>
      <c r="G671" s="1"/>
      <c r="H671" s="1"/>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2.75" x14ac:dyDescent="0.2">
      <c r="A672" s="29"/>
      <c r="B672" s="26"/>
      <c r="C672" s="26"/>
      <c r="D672" s="26"/>
      <c r="E672" s="26"/>
      <c r="F672" s="1"/>
      <c r="G672" s="1"/>
      <c r="H672" s="1"/>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2.75" x14ac:dyDescent="0.2">
      <c r="A673" s="29"/>
      <c r="B673" s="26"/>
      <c r="C673" s="26"/>
      <c r="D673" s="26"/>
      <c r="E673" s="26"/>
      <c r="F673" s="1"/>
      <c r="G673" s="1"/>
      <c r="H673" s="1"/>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2.75" x14ac:dyDescent="0.2">
      <c r="A674" s="29"/>
      <c r="B674" s="26"/>
      <c r="C674" s="26"/>
      <c r="D674" s="26"/>
      <c r="E674" s="26"/>
      <c r="F674" s="1"/>
      <c r="G674" s="1"/>
      <c r="H674" s="1"/>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2.75" x14ac:dyDescent="0.2">
      <c r="A675" s="29"/>
      <c r="B675" s="26"/>
      <c r="C675" s="26"/>
      <c r="D675" s="26"/>
      <c r="E675" s="26"/>
      <c r="F675" s="1"/>
      <c r="G675" s="1"/>
      <c r="H675" s="1"/>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2.75" x14ac:dyDescent="0.2">
      <c r="A676" s="29"/>
      <c r="B676" s="26"/>
      <c r="C676" s="26"/>
      <c r="D676" s="26"/>
      <c r="E676" s="26"/>
      <c r="F676" s="1"/>
      <c r="G676" s="1"/>
      <c r="H676" s="1"/>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2.75" x14ac:dyDescent="0.2">
      <c r="A677" s="29"/>
      <c r="B677" s="26"/>
      <c r="C677" s="26"/>
      <c r="D677" s="26"/>
      <c r="E677" s="26"/>
      <c r="F677" s="1"/>
      <c r="G677" s="1"/>
      <c r="H677" s="1"/>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2.75" x14ac:dyDescent="0.2">
      <c r="A678" s="29"/>
      <c r="B678" s="26"/>
      <c r="C678" s="26"/>
      <c r="D678" s="26"/>
      <c r="E678" s="26"/>
      <c r="F678" s="1"/>
      <c r="G678" s="1"/>
      <c r="H678" s="1"/>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2.75" x14ac:dyDescent="0.2">
      <c r="A679" s="29"/>
      <c r="B679" s="26"/>
      <c r="C679" s="26"/>
      <c r="D679" s="26"/>
      <c r="E679" s="26"/>
      <c r="F679" s="1"/>
      <c r="G679" s="1"/>
      <c r="H679" s="1"/>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2.75" x14ac:dyDescent="0.2">
      <c r="A680" s="29"/>
      <c r="B680" s="26"/>
      <c r="C680" s="26"/>
      <c r="D680" s="26"/>
      <c r="E680" s="26"/>
      <c r="F680" s="1"/>
      <c r="G680" s="1"/>
      <c r="H680" s="1"/>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2.75" x14ac:dyDescent="0.2">
      <c r="A681" s="29"/>
      <c r="B681" s="26"/>
      <c r="C681" s="26"/>
      <c r="D681" s="26"/>
      <c r="E681" s="26"/>
      <c r="F681" s="1"/>
      <c r="G681" s="1"/>
      <c r="H681" s="1"/>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2.75" x14ac:dyDescent="0.2">
      <c r="A682" s="29"/>
      <c r="B682" s="26"/>
      <c r="C682" s="26"/>
      <c r="D682" s="26"/>
      <c r="E682" s="26"/>
      <c r="F682" s="1"/>
      <c r="G682" s="1"/>
      <c r="H682" s="1"/>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2.75" x14ac:dyDescent="0.2">
      <c r="A683" s="29"/>
      <c r="B683" s="26"/>
      <c r="C683" s="26"/>
      <c r="D683" s="26"/>
      <c r="E683" s="26"/>
      <c r="F683" s="1"/>
      <c r="G683" s="1"/>
      <c r="H683" s="1"/>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2.75" x14ac:dyDescent="0.2">
      <c r="A684" s="29"/>
      <c r="B684" s="26"/>
      <c r="C684" s="26"/>
      <c r="D684" s="26"/>
      <c r="E684" s="26"/>
      <c r="F684" s="1"/>
      <c r="G684" s="1"/>
      <c r="H684" s="1"/>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2.75" x14ac:dyDescent="0.2">
      <c r="A685" s="29"/>
      <c r="B685" s="26"/>
      <c r="C685" s="26"/>
      <c r="D685" s="26"/>
      <c r="E685" s="26"/>
      <c r="F685" s="1"/>
      <c r="G685" s="1"/>
      <c r="H685" s="1"/>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2.75" x14ac:dyDescent="0.2">
      <c r="A686" s="29"/>
      <c r="B686" s="26"/>
      <c r="C686" s="26"/>
      <c r="D686" s="26"/>
      <c r="E686" s="26"/>
      <c r="F686" s="1"/>
      <c r="G686" s="1"/>
      <c r="H686" s="1"/>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2.75" x14ac:dyDescent="0.2">
      <c r="A687" s="29"/>
      <c r="B687" s="26"/>
      <c r="C687" s="26"/>
      <c r="D687" s="26"/>
      <c r="E687" s="26"/>
      <c r="F687" s="1"/>
      <c r="G687" s="1"/>
      <c r="H687" s="1"/>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2.75" x14ac:dyDescent="0.2">
      <c r="A688" s="29"/>
      <c r="B688" s="26"/>
      <c r="C688" s="26"/>
      <c r="D688" s="26"/>
      <c r="E688" s="26"/>
      <c r="F688" s="1"/>
      <c r="G688" s="1"/>
      <c r="H688" s="1"/>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2.75" x14ac:dyDescent="0.2">
      <c r="A689" s="29"/>
      <c r="B689" s="26"/>
      <c r="C689" s="26"/>
      <c r="D689" s="26"/>
      <c r="E689" s="26"/>
      <c r="F689" s="1"/>
      <c r="G689" s="1"/>
      <c r="H689" s="1"/>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2.75" x14ac:dyDescent="0.2">
      <c r="A690" s="29"/>
      <c r="B690" s="26"/>
      <c r="C690" s="26"/>
      <c r="D690" s="26"/>
      <c r="E690" s="26"/>
      <c r="F690" s="1"/>
      <c r="G690" s="1"/>
      <c r="H690" s="1"/>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2.75" x14ac:dyDescent="0.2">
      <c r="A691" s="29"/>
      <c r="B691" s="26"/>
      <c r="C691" s="26"/>
      <c r="D691" s="26"/>
      <c r="E691" s="26"/>
      <c r="F691" s="1"/>
      <c r="G691" s="1"/>
      <c r="H691" s="1"/>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2.75" x14ac:dyDescent="0.2">
      <c r="A692" s="29"/>
      <c r="B692" s="26"/>
      <c r="C692" s="26"/>
      <c r="D692" s="26"/>
      <c r="E692" s="26"/>
      <c r="F692" s="1"/>
      <c r="G692" s="1"/>
      <c r="H692" s="1"/>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2.75" x14ac:dyDescent="0.2">
      <c r="A693" s="29"/>
      <c r="B693" s="26"/>
      <c r="C693" s="26"/>
      <c r="D693" s="26"/>
      <c r="E693" s="26"/>
      <c r="F693" s="1"/>
      <c r="G693" s="1"/>
      <c r="H693" s="1"/>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2.75" x14ac:dyDescent="0.2">
      <c r="A694" s="29"/>
      <c r="B694" s="26"/>
      <c r="C694" s="26"/>
      <c r="D694" s="26"/>
      <c r="E694" s="26"/>
      <c r="F694" s="1"/>
      <c r="G694" s="1"/>
      <c r="H694" s="1"/>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2.75" x14ac:dyDescent="0.2">
      <c r="A695" s="29"/>
      <c r="B695" s="26"/>
      <c r="C695" s="26"/>
      <c r="D695" s="26"/>
      <c r="E695" s="26"/>
      <c r="F695" s="1"/>
      <c r="G695" s="1"/>
      <c r="H695" s="1"/>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2.75" x14ac:dyDescent="0.2">
      <c r="A696" s="29"/>
      <c r="B696" s="26"/>
      <c r="C696" s="26"/>
      <c r="D696" s="26"/>
      <c r="E696" s="26"/>
      <c r="F696" s="1"/>
      <c r="G696" s="1"/>
      <c r="H696" s="1"/>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2.75" x14ac:dyDescent="0.2">
      <c r="A697" s="29"/>
      <c r="B697" s="26"/>
      <c r="C697" s="26"/>
      <c r="D697" s="26"/>
      <c r="E697" s="26"/>
      <c r="F697" s="1"/>
      <c r="G697" s="1"/>
      <c r="H697" s="1"/>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2.75" x14ac:dyDescent="0.2">
      <c r="A698" s="29"/>
      <c r="B698" s="26"/>
      <c r="C698" s="26"/>
      <c r="D698" s="26"/>
      <c r="E698" s="26"/>
      <c r="F698" s="1"/>
      <c r="G698" s="1"/>
      <c r="H698" s="1"/>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2.75" x14ac:dyDescent="0.2">
      <c r="A699" s="29"/>
      <c r="B699" s="26"/>
      <c r="C699" s="26"/>
      <c r="D699" s="26"/>
      <c r="E699" s="26"/>
      <c r="F699" s="1"/>
      <c r="G699" s="1"/>
      <c r="H699" s="1"/>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2.75" x14ac:dyDescent="0.2">
      <c r="A700" s="29"/>
      <c r="B700" s="26"/>
      <c r="C700" s="26"/>
      <c r="D700" s="26"/>
      <c r="E700" s="26"/>
      <c r="F700" s="1"/>
      <c r="G700" s="1"/>
      <c r="H700" s="1"/>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2.75" x14ac:dyDescent="0.2">
      <c r="A701" s="29"/>
      <c r="B701" s="26"/>
      <c r="C701" s="26"/>
      <c r="D701" s="26"/>
      <c r="E701" s="26"/>
      <c r="F701" s="1"/>
      <c r="G701" s="1"/>
      <c r="H701" s="1"/>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2.75" x14ac:dyDescent="0.2">
      <c r="A702" s="29"/>
      <c r="B702" s="26"/>
      <c r="C702" s="26"/>
      <c r="D702" s="26"/>
      <c r="E702" s="26"/>
      <c r="F702" s="1"/>
      <c r="G702" s="1"/>
      <c r="H702" s="1"/>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2.75" x14ac:dyDescent="0.2">
      <c r="A703" s="29"/>
      <c r="B703" s="26"/>
      <c r="C703" s="26"/>
      <c r="D703" s="26"/>
      <c r="E703" s="26"/>
      <c r="F703" s="1"/>
      <c r="G703" s="1"/>
      <c r="H703" s="1"/>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2.75" x14ac:dyDescent="0.2">
      <c r="A704" s="29"/>
      <c r="B704" s="26"/>
      <c r="C704" s="26"/>
      <c r="D704" s="26"/>
      <c r="E704" s="26"/>
      <c r="F704" s="1"/>
      <c r="G704" s="1"/>
      <c r="H704" s="1"/>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2.75" x14ac:dyDescent="0.2">
      <c r="A705" s="29"/>
      <c r="B705" s="26"/>
      <c r="C705" s="26"/>
      <c r="D705" s="26"/>
      <c r="E705" s="26"/>
      <c r="F705" s="1"/>
      <c r="G705" s="1"/>
      <c r="H705" s="1"/>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2.75" x14ac:dyDescent="0.2">
      <c r="A706" s="29"/>
      <c r="B706" s="26"/>
      <c r="C706" s="26"/>
      <c r="D706" s="26"/>
      <c r="E706" s="26"/>
      <c r="F706" s="1"/>
      <c r="G706" s="1"/>
      <c r="H706" s="1"/>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2.75" x14ac:dyDescent="0.2">
      <c r="A707" s="29"/>
      <c r="B707" s="26"/>
      <c r="C707" s="26"/>
      <c r="D707" s="26"/>
      <c r="E707" s="26"/>
      <c r="F707" s="1"/>
      <c r="G707" s="1"/>
      <c r="H707" s="1"/>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2.75" x14ac:dyDescent="0.2">
      <c r="A708" s="29"/>
      <c r="B708" s="26"/>
      <c r="C708" s="26"/>
      <c r="D708" s="26"/>
      <c r="E708" s="26"/>
      <c r="F708" s="1"/>
      <c r="G708" s="1"/>
      <c r="H708" s="1"/>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2.75" x14ac:dyDescent="0.2">
      <c r="A709" s="29"/>
      <c r="B709" s="26"/>
      <c r="C709" s="26"/>
      <c r="D709" s="26"/>
      <c r="E709" s="26"/>
      <c r="F709" s="1"/>
      <c r="G709" s="1"/>
      <c r="H709" s="1"/>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2.75" x14ac:dyDescent="0.2">
      <c r="A710" s="29"/>
      <c r="B710" s="26"/>
      <c r="C710" s="26"/>
      <c r="D710" s="26"/>
      <c r="E710" s="26"/>
      <c r="F710" s="1"/>
      <c r="G710" s="1"/>
      <c r="H710" s="1"/>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2.75" x14ac:dyDescent="0.2">
      <c r="A711" s="29"/>
      <c r="B711" s="26"/>
      <c r="C711" s="26"/>
      <c r="D711" s="26"/>
      <c r="E711" s="26"/>
      <c r="F711" s="1"/>
      <c r="G711" s="1"/>
      <c r="H711" s="1"/>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2.75" x14ac:dyDescent="0.2">
      <c r="A712" s="29"/>
      <c r="B712" s="26"/>
      <c r="C712" s="26"/>
      <c r="D712" s="26"/>
      <c r="E712" s="26"/>
      <c r="F712" s="1"/>
      <c r="G712" s="1"/>
      <c r="H712" s="1"/>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2.75" x14ac:dyDescent="0.2">
      <c r="A713" s="29"/>
      <c r="B713" s="26"/>
      <c r="C713" s="26"/>
      <c r="D713" s="26"/>
      <c r="E713" s="26"/>
      <c r="F713" s="1"/>
      <c r="G713" s="1"/>
      <c r="H713" s="1"/>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2.75" x14ac:dyDescent="0.2">
      <c r="A714" s="29"/>
      <c r="B714" s="26"/>
      <c r="C714" s="26"/>
      <c r="D714" s="26"/>
      <c r="E714" s="26"/>
      <c r="F714" s="1"/>
      <c r="G714" s="1"/>
      <c r="H714" s="1"/>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2.75" x14ac:dyDescent="0.2">
      <c r="A715" s="29"/>
      <c r="B715" s="26"/>
      <c r="C715" s="26"/>
      <c r="D715" s="26"/>
      <c r="E715" s="26"/>
      <c r="F715" s="1"/>
      <c r="G715" s="1"/>
      <c r="H715" s="1"/>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2.75" x14ac:dyDescent="0.2">
      <c r="A716" s="29"/>
      <c r="B716" s="26"/>
      <c r="C716" s="26"/>
      <c r="D716" s="26"/>
      <c r="E716" s="26"/>
      <c r="F716" s="1"/>
      <c r="G716" s="1"/>
      <c r="H716" s="1"/>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2.75" x14ac:dyDescent="0.2">
      <c r="A717" s="29"/>
      <c r="B717" s="26"/>
      <c r="C717" s="26"/>
      <c r="D717" s="26"/>
      <c r="E717" s="26"/>
      <c r="F717" s="1"/>
      <c r="G717" s="1"/>
      <c r="H717" s="1"/>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2.75" x14ac:dyDescent="0.2">
      <c r="A718" s="29"/>
      <c r="B718" s="26"/>
      <c r="C718" s="26"/>
      <c r="D718" s="26"/>
      <c r="E718" s="26"/>
      <c r="F718" s="1"/>
      <c r="G718" s="1"/>
      <c r="H718" s="1"/>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2.75" x14ac:dyDescent="0.2">
      <c r="A719" s="29"/>
      <c r="B719" s="26"/>
      <c r="C719" s="26"/>
      <c r="D719" s="26"/>
      <c r="E719" s="26"/>
      <c r="F719" s="1"/>
      <c r="G719" s="1"/>
      <c r="H719" s="1"/>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2.75" x14ac:dyDescent="0.2">
      <c r="A720" s="29"/>
      <c r="B720" s="26"/>
      <c r="C720" s="26"/>
      <c r="D720" s="26"/>
      <c r="E720" s="26"/>
      <c r="F720" s="1"/>
      <c r="G720" s="1"/>
      <c r="H720" s="1"/>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2.75" x14ac:dyDescent="0.2">
      <c r="A721" s="29"/>
      <c r="B721" s="26"/>
      <c r="C721" s="26"/>
      <c r="D721" s="26"/>
      <c r="E721" s="26"/>
      <c r="F721" s="1"/>
      <c r="G721" s="1"/>
      <c r="H721" s="1"/>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2.75" x14ac:dyDescent="0.2">
      <c r="A722" s="29"/>
      <c r="B722" s="26"/>
      <c r="C722" s="26"/>
      <c r="D722" s="26"/>
      <c r="E722" s="26"/>
      <c r="F722" s="1"/>
      <c r="G722" s="1"/>
      <c r="H722" s="1"/>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2.75" x14ac:dyDescent="0.2">
      <c r="A723" s="29"/>
      <c r="B723" s="26"/>
      <c r="C723" s="26"/>
      <c r="D723" s="26"/>
      <c r="E723" s="26"/>
      <c r="F723" s="1"/>
      <c r="G723" s="1"/>
      <c r="H723" s="1"/>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2.75" x14ac:dyDescent="0.2">
      <c r="A724" s="29"/>
      <c r="B724" s="26"/>
      <c r="C724" s="26"/>
      <c r="D724" s="26"/>
      <c r="E724" s="26"/>
      <c r="F724" s="1"/>
      <c r="G724" s="1"/>
      <c r="H724" s="1"/>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2.75" x14ac:dyDescent="0.2">
      <c r="A725" s="29"/>
      <c r="B725" s="26"/>
      <c r="C725" s="26"/>
      <c r="D725" s="26"/>
      <c r="E725" s="26"/>
      <c r="F725" s="1"/>
      <c r="G725" s="1"/>
      <c r="H725" s="1"/>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2.75" x14ac:dyDescent="0.2">
      <c r="A726" s="29"/>
      <c r="B726" s="26"/>
      <c r="C726" s="26"/>
      <c r="D726" s="26"/>
      <c r="E726" s="26"/>
      <c r="F726" s="1"/>
      <c r="G726" s="1"/>
      <c r="H726" s="1"/>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2.75" x14ac:dyDescent="0.2">
      <c r="A727" s="29"/>
      <c r="B727" s="26"/>
      <c r="C727" s="26"/>
      <c r="D727" s="26"/>
      <c r="E727" s="26"/>
      <c r="F727" s="1"/>
      <c r="G727" s="1"/>
      <c r="H727" s="1"/>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2.75" x14ac:dyDescent="0.2">
      <c r="A728" s="29"/>
      <c r="B728" s="26"/>
      <c r="C728" s="26"/>
      <c r="D728" s="26"/>
      <c r="E728" s="26"/>
      <c r="F728" s="1"/>
      <c r="G728" s="1"/>
      <c r="H728" s="1"/>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2.75" x14ac:dyDescent="0.2">
      <c r="A729" s="29"/>
      <c r="B729" s="26"/>
      <c r="C729" s="26"/>
      <c r="D729" s="26"/>
      <c r="E729" s="26"/>
      <c r="F729" s="1"/>
      <c r="G729" s="1"/>
      <c r="H729" s="1"/>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2.75" x14ac:dyDescent="0.2">
      <c r="A730" s="29"/>
      <c r="B730" s="26"/>
      <c r="C730" s="26"/>
      <c r="D730" s="26"/>
      <c r="E730" s="26"/>
      <c r="F730" s="1"/>
      <c r="G730" s="1"/>
      <c r="H730" s="1"/>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2.75" x14ac:dyDescent="0.2">
      <c r="A731" s="29"/>
      <c r="B731" s="26"/>
      <c r="C731" s="26"/>
      <c r="D731" s="26"/>
      <c r="E731" s="26"/>
      <c r="F731" s="1"/>
      <c r="G731" s="1"/>
      <c r="H731" s="1"/>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2.75" x14ac:dyDescent="0.2">
      <c r="A732" s="29"/>
      <c r="B732" s="26"/>
      <c r="C732" s="26"/>
      <c r="D732" s="26"/>
      <c r="E732" s="26"/>
      <c r="F732" s="1"/>
      <c r="G732" s="1"/>
      <c r="H732" s="1"/>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2.75" x14ac:dyDescent="0.2">
      <c r="A733" s="29"/>
      <c r="B733" s="26"/>
      <c r="C733" s="26"/>
      <c r="D733" s="26"/>
      <c r="E733" s="26"/>
      <c r="F733" s="1"/>
      <c r="G733" s="1"/>
      <c r="H733" s="1"/>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2.75" x14ac:dyDescent="0.2">
      <c r="A734" s="29"/>
      <c r="B734" s="26"/>
      <c r="C734" s="26"/>
      <c r="D734" s="26"/>
      <c r="E734" s="26"/>
      <c r="F734" s="1"/>
      <c r="G734" s="1"/>
      <c r="H734" s="1"/>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2.75" x14ac:dyDescent="0.2">
      <c r="A735" s="29"/>
      <c r="B735" s="26"/>
      <c r="C735" s="26"/>
      <c r="D735" s="26"/>
      <c r="E735" s="26"/>
      <c r="F735" s="1"/>
      <c r="G735" s="1"/>
      <c r="H735" s="1"/>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2.75" x14ac:dyDescent="0.2">
      <c r="A736" s="29"/>
      <c r="B736" s="26"/>
      <c r="C736" s="26"/>
      <c r="D736" s="26"/>
      <c r="E736" s="26"/>
      <c r="F736" s="1"/>
      <c r="G736" s="1"/>
      <c r="H736" s="1"/>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2.75" x14ac:dyDescent="0.2">
      <c r="A737" s="29"/>
      <c r="B737" s="26"/>
      <c r="C737" s="26"/>
      <c r="D737" s="26"/>
      <c r="E737" s="26"/>
      <c r="F737" s="1"/>
      <c r="G737" s="1"/>
      <c r="H737" s="1"/>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2.75" x14ac:dyDescent="0.2">
      <c r="A738" s="29"/>
      <c r="B738" s="26"/>
      <c r="C738" s="26"/>
      <c r="D738" s="26"/>
      <c r="E738" s="26"/>
      <c r="F738" s="1"/>
      <c r="G738" s="1"/>
      <c r="H738" s="1"/>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2.75" x14ac:dyDescent="0.2">
      <c r="A739" s="29"/>
      <c r="B739" s="26"/>
      <c r="C739" s="26"/>
      <c r="D739" s="26"/>
      <c r="E739" s="26"/>
      <c r="F739" s="1"/>
      <c r="G739" s="1"/>
      <c r="H739" s="1"/>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2.75" x14ac:dyDescent="0.2">
      <c r="A740" s="29"/>
      <c r="B740" s="26"/>
      <c r="C740" s="26"/>
      <c r="D740" s="26"/>
      <c r="E740" s="26"/>
      <c r="F740" s="1"/>
      <c r="G740" s="1"/>
      <c r="H740" s="1"/>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2.75" x14ac:dyDescent="0.2">
      <c r="A741" s="29"/>
      <c r="B741" s="26"/>
      <c r="C741" s="26"/>
      <c r="D741" s="26"/>
      <c r="E741" s="26"/>
      <c r="F741" s="1"/>
      <c r="G741" s="1"/>
      <c r="H741" s="1"/>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2.75" x14ac:dyDescent="0.2">
      <c r="A742" s="29"/>
      <c r="B742" s="26"/>
      <c r="C742" s="26"/>
      <c r="D742" s="26"/>
      <c r="E742" s="26"/>
      <c r="F742" s="1"/>
      <c r="G742" s="1"/>
      <c r="H742" s="1"/>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2.75" x14ac:dyDescent="0.2">
      <c r="A743" s="29"/>
      <c r="B743" s="26"/>
      <c r="C743" s="26"/>
      <c r="D743" s="26"/>
      <c r="E743" s="26"/>
      <c r="F743" s="1"/>
      <c r="G743" s="1"/>
      <c r="H743" s="1"/>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2.75" x14ac:dyDescent="0.2">
      <c r="A744" s="29"/>
      <c r="B744" s="26"/>
      <c r="C744" s="26"/>
      <c r="D744" s="26"/>
      <c r="E744" s="26"/>
      <c r="F744" s="1"/>
      <c r="G744" s="1"/>
      <c r="H744" s="1"/>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2.75" x14ac:dyDescent="0.2">
      <c r="A745" s="29"/>
      <c r="B745" s="26"/>
      <c r="C745" s="26"/>
      <c r="D745" s="26"/>
      <c r="E745" s="26"/>
      <c r="F745" s="1"/>
      <c r="G745" s="1"/>
      <c r="H745" s="1"/>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2.75" x14ac:dyDescent="0.2">
      <c r="A746" s="29"/>
      <c r="B746" s="26"/>
      <c r="C746" s="26"/>
      <c r="D746" s="26"/>
      <c r="E746" s="26"/>
      <c r="F746" s="1"/>
      <c r="G746" s="1"/>
      <c r="H746" s="1"/>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2.75" x14ac:dyDescent="0.2">
      <c r="A747" s="29"/>
      <c r="B747" s="26"/>
      <c r="C747" s="26"/>
      <c r="D747" s="26"/>
      <c r="E747" s="26"/>
      <c r="F747" s="1"/>
      <c r="G747" s="1"/>
      <c r="H747" s="1"/>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2.75" x14ac:dyDescent="0.2">
      <c r="A748" s="29"/>
      <c r="B748" s="26"/>
      <c r="C748" s="26"/>
      <c r="D748" s="26"/>
      <c r="E748" s="26"/>
      <c r="F748" s="1"/>
      <c r="G748" s="1"/>
      <c r="H748" s="1"/>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2.75" x14ac:dyDescent="0.2">
      <c r="A749" s="29"/>
      <c r="B749" s="26"/>
      <c r="C749" s="26"/>
      <c r="D749" s="26"/>
      <c r="E749" s="26"/>
      <c r="F749" s="1"/>
      <c r="G749" s="1"/>
      <c r="H749" s="1"/>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2.75" x14ac:dyDescent="0.2">
      <c r="A750" s="29"/>
      <c r="B750" s="26"/>
      <c r="C750" s="26"/>
      <c r="D750" s="26"/>
      <c r="E750" s="26"/>
      <c r="F750" s="1"/>
      <c r="G750" s="1"/>
      <c r="H750" s="1"/>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2.75" x14ac:dyDescent="0.2">
      <c r="A751" s="29"/>
      <c r="B751" s="26"/>
      <c r="C751" s="26"/>
      <c r="D751" s="26"/>
      <c r="E751" s="26"/>
      <c r="F751" s="1"/>
      <c r="G751" s="1"/>
      <c r="H751" s="1"/>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2.75" x14ac:dyDescent="0.2">
      <c r="A752" s="29"/>
      <c r="B752" s="26"/>
      <c r="C752" s="26"/>
      <c r="D752" s="26"/>
      <c r="E752" s="26"/>
      <c r="F752" s="1"/>
      <c r="G752" s="1"/>
      <c r="H752" s="1"/>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2.75" x14ac:dyDescent="0.2">
      <c r="A753" s="29"/>
      <c r="B753" s="26"/>
      <c r="C753" s="26"/>
      <c r="D753" s="26"/>
      <c r="E753" s="26"/>
      <c r="F753" s="1"/>
      <c r="G753" s="1"/>
      <c r="H753" s="1"/>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2.75" x14ac:dyDescent="0.2">
      <c r="A754" s="29"/>
      <c r="B754" s="26"/>
      <c r="C754" s="26"/>
      <c r="D754" s="26"/>
      <c r="E754" s="26"/>
      <c r="F754" s="1"/>
      <c r="G754" s="1"/>
      <c r="H754" s="1"/>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2.75" x14ac:dyDescent="0.2">
      <c r="A755" s="29"/>
      <c r="B755" s="26"/>
      <c r="C755" s="26"/>
      <c r="D755" s="26"/>
      <c r="E755" s="26"/>
      <c r="F755" s="1"/>
      <c r="G755" s="1"/>
      <c r="H755" s="1"/>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2.75" x14ac:dyDescent="0.2">
      <c r="A756" s="29"/>
      <c r="B756" s="26"/>
      <c r="C756" s="26"/>
      <c r="D756" s="26"/>
      <c r="E756" s="26"/>
      <c r="F756" s="1"/>
      <c r="G756" s="1"/>
      <c r="H756" s="1"/>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2.75" x14ac:dyDescent="0.2">
      <c r="A757" s="29"/>
      <c r="B757" s="26"/>
      <c r="C757" s="26"/>
      <c r="D757" s="26"/>
      <c r="E757" s="26"/>
      <c r="F757" s="1"/>
      <c r="G757" s="1"/>
      <c r="H757" s="1"/>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2.75" x14ac:dyDescent="0.2">
      <c r="A758" s="29"/>
      <c r="B758" s="26"/>
      <c r="C758" s="26"/>
      <c r="D758" s="26"/>
      <c r="E758" s="26"/>
      <c r="F758" s="1"/>
      <c r="G758" s="1"/>
      <c r="H758" s="1"/>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2.75" x14ac:dyDescent="0.2">
      <c r="A759" s="29"/>
      <c r="B759" s="26"/>
      <c r="C759" s="26"/>
      <c r="D759" s="26"/>
      <c r="E759" s="26"/>
      <c r="F759" s="1"/>
      <c r="G759" s="1"/>
      <c r="H759" s="1"/>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2.75" x14ac:dyDescent="0.2">
      <c r="A760" s="29"/>
      <c r="B760" s="26"/>
      <c r="C760" s="26"/>
      <c r="D760" s="26"/>
      <c r="E760" s="26"/>
      <c r="F760" s="1"/>
      <c r="G760" s="1"/>
      <c r="H760" s="1"/>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2.75" x14ac:dyDescent="0.2">
      <c r="A761" s="29"/>
      <c r="B761" s="26"/>
      <c r="C761" s="26"/>
      <c r="D761" s="26"/>
      <c r="E761" s="26"/>
      <c r="F761" s="1"/>
      <c r="G761" s="1"/>
      <c r="H761" s="1"/>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2.75" x14ac:dyDescent="0.2">
      <c r="A762" s="29"/>
      <c r="B762" s="26"/>
      <c r="C762" s="26"/>
      <c r="D762" s="26"/>
      <c r="E762" s="26"/>
      <c r="F762" s="1"/>
      <c r="G762" s="1"/>
      <c r="H762" s="1"/>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2.75" x14ac:dyDescent="0.2">
      <c r="A763" s="29"/>
      <c r="B763" s="26"/>
      <c r="C763" s="26"/>
      <c r="D763" s="26"/>
      <c r="E763" s="26"/>
      <c r="F763" s="1"/>
      <c r="G763" s="1"/>
      <c r="H763" s="1"/>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2.75" x14ac:dyDescent="0.2">
      <c r="A764" s="29"/>
      <c r="B764" s="26"/>
      <c r="C764" s="26"/>
      <c r="D764" s="26"/>
      <c r="E764" s="26"/>
      <c r="F764" s="1"/>
      <c r="G764" s="1"/>
      <c r="H764" s="1"/>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2.75" x14ac:dyDescent="0.2">
      <c r="A765" s="29"/>
      <c r="B765" s="26"/>
      <c r="C765" s="26"/>
      <c r="D765" s="26"/>
      <c r="E765" s="26"/>
      <c r="F765" s="1"/>
      <c r="G765" s="1"/>
      <c r="H765" s="1"/>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2.75" x14ac:dyDescent="0.2">
      <c r="A766" s="29"/>
      <c r="B766" s="26"/>
      <c r="C766" s="26"/>
      <c r="D766" s="26"/>
      <c r="E766" s="26"/>
      <c r="F766" s="1"/>
      <c r="G766" s="1"/>
      <c r="H766" s="1"/>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2.75" x14ac:dyDescent="0.2">
      <c r="A767" s="29"/>
      <c r="B767" s="26"/>
      <c r="C767" s="26"/>
      <c r="D767" s="26"/>
      <c r="E767" s="26"/>
      <c r="F767" s="1"/>
      <c r="G767" s="1"/>
      <c r="H767" s="1"/>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2.75" x14ac:dyDescent="0.2">
      <c r="A768" s="29"/>
      <c r="B768" s="26"/>
      <c r="C768" s="26"/>
      <c r="D768" s="26"/>
      <c r="E768" s="26"/>
      <c r="F768" s="1"/>
      <c r="G768" s="1"/>
      <c r="H768" s="1"/>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2.75" x14ac:dyDescent="0.2">
      <c r="A769" s="29"/>
      <c r="B769" s="26"/>
      <c r="C769" s="26"/>
      <c r="D769" s="26"/>
      <c r="E769" s="26"/>
      <c r="F769" s="1"/>
      <c r="G769" s="1"/>
      <c r="H769" s="1"/>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2.75" x14ac:dyDescent="0.2">
      <c r="A770" s="29"/>
      <c r="B770" s="26"/>
      <c r="C770" s="26"/>
      <c r="D770" s="26"/>
      <c r="E770" s="26"/>
      <c r="F770" s="1"/>
      <c r="G770" s="1"/>
      <c r="H770" s="1"/>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2.75" x14ac:dyDescent="0.2">
      <c r="A771" s="29"/>
      <c r="B771" s="26"/>
      <c r="C771" s="26"/>
      <c r="D771" s="26"/>
      <c r="E771" s="26"/>
      <c r="F771" s="1"/>
      <c r="G771" s="1"/>
      <c r="H771" s="1"/>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2.75" x14ac:dyDescent="0.2">
      <c r="A772" s="29"/>
      <c r="B772" s="26"/>
      <c r="C772" s="26"/>
      <c r="D772" s="26"/>
      <c r="E772" s="26"/>
      <c r="F772" s="1"/>
      <c r="G772" s="1"/>
      <c r="H772" s="1"/>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2.75" x14ac:dyDescent="0.2">
      <c r="A773" s="29"/>
      <c r="B773" s="26"/>
      <c r="C773" s="26"/>
      <c r="D773" s="26"/>
      <c r="E773" s="26"/>
      <c r="F773" s="1"/>
      <c r="G773" s="1"/>
      <c r="H773" s="1"/>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2.75" x14ac:dyDescent="0.2">
      <c r="A774" s="29"/>
      <c r="B774" s="26"/>
      <c r="C774" s="26"/>
      <c r="D774" s="26"/>
      <c r="E774" s="26"/>
      <c r="F774" s="1"/>
      <c r="G774" s="1"/>
      <c r="H774" s="1"/>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2.75" x14ac:dyDescent="0.2">
      <c r="A775" s="29"/>
      <c r="B775" s="26"/>
      <c r="C775" s="26"/>
      <c r="D775" s="26"/>
      <c r="E775" s="26"/>
      <c r="F775" s="1"/>
      <c r="G775" s="1"/>
      <c r="H775" s="1"/>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2.75" x14ac:dyDescent="0.2">
      <c r="A776" s="29"/>
      <c r="B776" s="26"/>
      <c r="C776" s="26"/>
      <c r="D776" s="26"/>
      <c r="E776" s="26"/>
      <c r="F776" s="1"/>
      <c r="G776" s="1"/>
      <c r="H776" s="1"/>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2.75" x14ac:dyDescent="0.2">
      <c r="A777" s="29"/>
      <c r="B777" s="26"/>
      <c r="C777" s="26"/>
      <c r="D777" s="26"/>
      <c r="E777" s="26"/>
      <c r="F777" s="1"/>
      <c r="G777" s="1"/>
      <c r="H777" s="1"/>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2.75" x14ac:dyDescent="0.2">
      <c r="A778" s="29"/>
      <c r="B778" s="26"/>
      <c r="C778" s="26"/>
      <c r="D778" s="26"/>
      <c r="E778" s="26"/>
      <c r="F778" s="1"/>
      <c r="G778" s="1"/>
      <c r="H778" s="1"/>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2.75" x14ac:dyDescent="0.2">
      <c r="A779" s="29"/>
      <c r="B779" s="26"/>
      <c r="C779" s="26"/>
      <c r="D779" s="26"/>
      <c r="E779" s="26"/>
      <c r="F779" s="1"/>
      <c r="G779" s="1"/>
      <c r="H779" s="1"/>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2.75" x14ac:dyDescent="0.2">
      <c r="A780" s="29"/>
      <c r="B780" s="26"/>
      <c r="C780" s="26"/>
      <c r="D780" s="26"/>
      <c r="E780" s="26"/>
      <c r="F780" s="1"/>
      <c r="G780" s="1"/>
      <c r="H780" s="1"/>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2.75" x14ac:dyDescent="0.2">
      <c r="A781" s="29"/>
      <c r="B781" s="26"/>
      <c r="C781" s="26"/>
      <c r="D781" s="26"/>
      <c r="E781" s="26"/>
      <c r="F781" s="1"/>
      <c r="G781" s="1"/>
      <c r="H781" s="1"/>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2.75" x14ac:dyDescent="0.2">
      <c r="A782" s="29"/>
      <c r="B782" s="26"/>
      <c r="C782" s="26"/>
      <c r="D782" s="26"/>
      <c r="E782" s="26"/>
      <c r="F782" s="1"/>
      <c r="G782" s="1"/>
      <c r="H782" s="1"/>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2.75" x14ac:dyDescent="0.2">
      <c r="A783" s="29"/>
      <c r="B783" s="26"/>
      <c r="C783" s="26"/>
      <c r="D783" s="26"/>
      <c r="E783" s="26"/>
      <c r="F783" s="1"/>
      <c r="G783" s="1"/>
      <c r="H783" s="1"/>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2.75" x14ac:dyDescent="0.2">
      <c r="A784" s="29"/>
      <c r="B784" s="26"/>
      <c r="C784" s="26"/>
      <c r="D784" s="26"/>
      <c r="E784" s="26"/>
      <c r="F784" s="1"/>
      <c r="G784" s="1"/>
      <c r="H784" s="1"/>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2.75" x14ac:dyDescent="0.2">
      <c r="A785" s="29"/>
      <c r="B785" s="26"/>
      <c r="C785" s="26"/>
      <c r="D785" s="26"/>
      <c r="E785" s="26"/>
      <c r="F785" s="1"/>
      <c r="G785" s="1"/>
      <c r="H785" s="1"/>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2.75" x14ac:dyDescent="0.2">
      <c r="A786" s="29"/>
      <c r="B786" s="26"/>
      <c r="C786" s="26"/>
      <c r="D786" s="26"/>
      <c r="E786" s="26"/>
      <c r="F786" s="1"/>
      <c r="G786" s="1"/>
      <c r="H786" s="1"/>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2.75" x14ac:dyDescent="0.2">
      <c r="A787" s="29"/>
      <c r="B787" s="26"/>
      <c r="C787" s="26"/>
      <c r="D787" s="26"/>
      <c r="E787" s="26"/>
      <c r="F787" s="1"/>
      <c r="G787" s="1"/>
      <c r="H787" s="1"/>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2.75" x14ac:dyDescent="0.2">
      <c r="A788" s="29"/>
      <c r="B788" s="26"/>
      <c r="C788" s="26"/>
      <c r="D788" s="26"/>
      <c r="E788" s="26"/>
      <c r="F788" s="1"/>
      <c r="G788" s="1"/>
      <c r="H788" s="1"/>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2.75" x14ac:dyDescent="0.2">
      <c r="A789" s="29"/>
      <c r="B789" s="26"/>
      <c r="C789" s="26"/>
      <c r="D789" s="26"/>
      <c r="E789" s="26"/>
      <c r="F789" s="1"/>
      <c r="G789" s="1"/>
      <c r="H789" s="1"/>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2.75" x14ac:dyDescent="0.2">
      <c r="A790" s="29"/>
      <c r="B790" s="26"/>
      <c r="C790" s="26"/>
      <c r="D790" s="26"/>
      <c r="E790" s="26"/>
      <c r="F790" s="1"/>
      <c r="G790" s="1"/>
      <c r="H790" s="1"/>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2.75" x14ac:dyDescent="0.2">
      <c r="A791" s="29"/>
      <c r="B791" s="26"/>
      <c r="C791" s="26"/>
      <c r="D791" s="26"/>
      <c r="E791" s="26"/>
      <c r="F791" s="1"/>
      <c r="G791" s="1"/>
      <c r="H791" s="1"/>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2.75" x14ac:dyDescent="0.2">
      <c r="A792" s="29"/>
      <c r="B792" s="26"/>
      <c r="C792" s="26"/>
      <c r="D792" s="26"/>
      <c r="E792" s="26"/>
      <c r="F792" s="1"/>
      <c r="G792" s="1"/>
      <c r="H792" s="1"/>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2.75" x14ac:dyDescent="0.2">
      <c r="A793" s="29"/>
      <c r="B793" s="26"/>
      <c r="C793" s="26"/>
      <c r="D793" s="26"/>
      <c r="E793" s="26"/>
      <c r="F793" s="1"/>
      <c r="G793" s="1"/>
      <c r="H793" s="1"/>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2.75" x14ac:dyDescent="0.2">
      <c r="A794" s="29"/>
      <c r="B794" s="26"/>
      <c r="C794" s="26"/>
      <c r="D794" s="26"/>
      <c r="E794" s="26"/>
      <c r="F794" s="1"/>
      <c r="G794" s="1"/>
      <c r="H794" s="1"/>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2.75" x14ac:dyDescent="0.2">
      <c r="A795" s="29"/>
      <c r="B795" s="26"/>
      <c r="C795" s="26"/>
      <c r="D795" s="26"/>
      <c r="E795" s="26"/>
      <c r="F795" s="1"/>
      <c r="G795" s="1"/>
      <c r="H795" s="1"/>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2.75" x14ac:dyDescent="0.2">
      <c r="A796" s="29"/>
      <c r="B796" s="26"/>
      <c r="C796" s="26"/>
      <c r="D796" s="26"/>
      <c r="E796" s="26"/>
      <c r="F796" s="1"/>
      <c r="G796" s="1"/>
      <c r="H796" s="1"/>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2.75" x14ac:dyDescent="0.2">
      <c r="A797" s="29"/>
      <c r="B797" s="26"/>
      <c r="C797" s="26"/>
      <c r="D797" s="26"/>
      <c r="E797" s="26"/>
      <c r="F797" s="1"/>
      <c r="G797" s="1"/>
      <c r="H797" s="1"/>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2.75" x14ac:dyDescent="0.2">
      <c r="A798" s="29"/>
      <c r="B798" s="26"/>
      <c r="C798" s="26"/>
      <c r="D798" s="26"/>
      <c r="E798" s="26"/>
      <c r="F798" s="1"/>
      <c r="G798" s="1"/>
      <c r="H798" s="1"/>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2.75" x14ac:dyDescent="0.2">
      <c r="A799" s="29"/>
      <c r="B799" s="26"/>
      <c r="C799" s="26"/>
      <c r="D799" s="26"/>
      <c r="E799" s="26"/>
      <c r="F799" s="1"/>
      <c r="G799" s="1"/>
      <c r="H799" s="1"/>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2.75" x14ac:dyDescent="0.2">
      <c r="A800" s="29"/>
      <c r="B800" s="26"/>
      <c r="C800" s="26"/>
      <c r="D800" s="26"/>
      <c r="E800" s="26"/>
      <c r="F800" s="1"/>
      <c r="G800" s="1"/>
      <c r="H800" s="1"/>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2.75" x14ac:dyDescent="0.2">
      <c r="A801" s="29"/>
      <c r="B801" s="26"/>
      <c r="C801" s="26"/>
      <c r="D801" s="26"/>
      <c r="E801" s="26"/>
      <c r="F801" s="1"/>
      <c r="G801" s="1"/>
      <c r="H801" s="1"/>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2.75" x14ac:dyDescent="0.2">
      <c r="A802" s="29"/>
      <c r="B802" s="26"/>
      <c r="C802" s="26"/>
      <c r="D802" s="26"/>
      <c r="E802" s="26"/>
      <c r="F802" s="1"/>
      <c r="G802" s="1"/>
      <c r="H802" s="1"/>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2.75" x14ac:dyDescent="0.2">
      <c r="A803" s="29"/>
      <c r="B803" s="26"/>
      <c r="C803" s="26"/>
      <c r="D803" s="26"/>
      <c r="E803" s="26"/>
      <c r="F803" s="1"/>
      <c r="G803" s="1"/>
      <c r="H803" s="1"/>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2.75" x14ac:dyDescent="0.2">
      <c r="A804" s="29"/>
      <c r="B804" s="26"/>
      <c r="C804" s="26"/>
      <c r="D804" s="26"/>
      <c r="E804" s="26"/>
      <c r="F804" s="1"/>
      <c r="G804" s="1"/>
      <c r="H804" s="1"/>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2.75" x14ac:dyDescent="0.2">
      <c r="A805" s="29"/>
      <c r="B805" s="26"/>
      <c r="C805" s="26"/>
      <c r="D805" s="26"/>
      <c r="E805" s="26"/>
      <c r="F805" s="1"/>
      <c r="G805" s="1"/>
      <c r="H805" s="1"/>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2.75" x14ac:dyDescent="0.2">
      <c r="A806" s="29"/>
      <c r="B806" s="26"/>
      <c r="C806" s="26"/>
      <c r="D806" s="26"/>
      <c r="E806" s="26"/>
      <c r="F806" s="1"/>
      <c r="G806" s="1"/>
      <c r="H806" s="1"/>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2.75" x14ac:dyDescent="0.2">
      <c r="A807" s="29"/>
      <c r="B807" s="26"/>
      <c r="C807" s="26"/>
      <c r="D807" s="26"/>
      <c r="E807" s="26"/>
      <c r="F807" s="1"/>
      <c r="G807" s="1"/>
      <c r="H807" s="1"/>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2.75" x14ac:dyDescent="0.2">
      <c r="A808" s="29"/>
      <c r="B808" s="26"/>
      <c r="C808" s="26"/>
      <c r="D808" s="26"/>
      <c r="E808" s="26"/>
      <c r="F808" s="1"/>
      <c r="G808" s="1"/>
      <c r="H808" s="1"/>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2.75" x14ac:dyDescent="0.2">
      <c r="A809" s="29"/>
      <c r="B809" s="26"/>
      <c r="C809" s="26"/>
      <c r="D809" s="26"/>
      <c r="E809" s="26"/>
      <c r="F809" s="1"/>
      <c r="G809" s="1"/>
      <c r="H809" s="1"/>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2.75" x14ac:dyDescent="0.2">
      <c r="A810" s="29"/>
      <c r="B810" s="26"/>
      <c r="C810" s="26"/>
      <c r="D810" s="26"/>
      <c r="E810" s="26"/>
      <c r="F810" s="1"/>
      <c r="G810" s="1"/>
      <c r="H810" s="1"/>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2.75" x14ac:dyDescent="0.2">
      <c r="A811" s="29"/>
      <c r="B811" s="26"/>
      <c r="C811" s="26"/>
      <c r="D811" s="26"/>
      <c r="E811" s="26"/>
      <c r="F811" s="1"/>
      <c r="G811" s="1"/>
      <c r="H811" s="1"/>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2.75" x14ac:dyDescent="0.2">
      <c r="A812" s="29"/>
      <c r="B812" s="26"/>
      <c r="C812" s="26"/>
      <c r="D812" s="26"/>
      <c r="E812" s="26"/>
      <c r="F812" s="1"/>
      <c r="G812" s="1"/>
      <c r="H812" s="1"/>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2.75" x14ac:dyDescent="0.2">
      <c r="A813" s="29"/>
      <c r="B813" s="26"/>
      <c r="C813" s="26"/>
      <c r="D813" s="26"/>
      <c r="E813" s="26"/>
      <c r="F813" s="1"/>
      <c r="G813" s="1"/>
      <c r="H813" s="1"/>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2.75" x14ac:dyDescent="0.2">
      <c r="A814" s="29"/>
      <c r="B814" s="26"/>
      <c r="C814" s="26"/>
      <c r="D814" s="26"/>
      <c r="E814" s="26"/>
      <c r="F814" s="1"/>
      <c r="G814" s="1"/>
      <c r="H814" s="1"/>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2.75" x14ac:dyDescent="0.2">
      <c r="A815" s="29"/>
      <c r="B815" s="26"/>
      <c r="C815" s="26"/>
      <c r="D815" s="26"/>
      <c r="E815" s="26"/>
      <c r="F815" s="1"/>
      <c r="G815" s="1"/>
      <c r="H815" s="1"/>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2.75" x14ac:dyDescent="0.2">
      <c r="A816" s="29"/>
      <c r="B816" s="26"/>
      <c r="C816" s="26"/>
      <c r="D816" s="26"/>
      <c r="E816" s="26"/>
      <c r="F816" s="1"/>
      <c r="G816" s="1"/>
      <c r="H816" s="1"/>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2.75" x14ac:dyDescent="0.2">
      <c r="A817" s="29"/>
      <c r="B817" s="26"/>
      <c r="C817" s="26"/>
      <c r="D817" s="26"/>
      <c r="E817" s="26"/>
      <c r="F817" s="1"/>
      <c r="G817" s="1"/>
      <c r="H817" s="1"/>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2.75" x14ac:dyDescent="0.2">
      <c r="A818" s="29"/>
      <c r="B818" s="26"/>
      <c r="C818" s="26"/>
      <c r="D818" s="26"/>
      <c r="E818" s="26"/>
      <c r="F818" s="1"/>
      <c r="G818" s="1"/>
      <c r="H818" s="1"/>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2.75" x14ac:dyDescent="0.2">
      <c r="A819" s="29"/>
      <c r="B819" s="26"/>
      <c r="C819" s="26"/>
      <c r="D819" s="26"/>
      <c r="E819" s="26"/>
      <c r="F819" s="1"/>
      <c r="G819" s="1"/>
      <c r="H819" s="1"/>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2.75" x14ac:dyDescent="0.2">
      <c r="A820" s="29"/>
      <c r="B820" s="26"/>
      <c r="C820" s="26"/>
      <c r="D820" s="26"/>
      <c r="E820" s="26"/>
      <c r="F820" s="1"/>
      <c r="G820" s="1"/>
      <c r="H820" s="1"/>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2.75" x14ac:dyDescent="0.2">
      <c r="A821" s="29"/>
      <c r="B821" s="26"/>
      <c r="C821" s="26"/>
      <c r="D821" s="26"/>
      <c r="E821" s="26"/>
      <c r="F821" s="1"/>
      <c r="G821" s="1"/>
      <c r="H821" s="1"/>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2.75" x14ac:dyDescent="0.2">
      <c r="A822" s="29"/>
      <c r="B822" s="26"/>
      <c r="C822" s="26"/>
      <c r="D822" s="26"/>
      <c r="E822" s="26"/>
      <c r="F822" s="1"/>
      <c r="G822" s="1"/>
      <c r="H822" s="1"/>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2.75" x14ac:dyDescent="0.2">
      <c r="A823" s="29"/>
      <c r="B823" s="26"/>
      <c r="C823" s="26"/>
      <c r="D823" s="26"/>
      <c r="E823" s="26"/>
      <c r="F823" s="1"/>
      <c r="G823" s="1"/>
      <c r="H823" s="1"/>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2.75" x14ac:dyDescent="0.2">
      <c r="A824" s="29"/>
      <c r="B824" s="26"/>
      <c r="C824" s="26"/>
      <c r="D824" s="26"/>
      <c r="E824" s="26"/>
      <c r="F824" s="1"/>
      <c r="G824" s="1"/>
      <c r="H824" s="1"/>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2.75" x14ac:dyDescent="0.2">
      <c r="A825" s="29"/>
      <c r="B825" s="26"/>
      <c r="C825" s="26"/>
      <c r="D825" s="26"/>
      <c r="E825" s="26"/>
      <c r="F825" s="1"/>
      <c r="G825" s="1"/>
      <c r="H825" s="1"/>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2.75" x14ac:dyDescent="0.2">
      <c r="A826" s="29"/>
      <c r="B826" s="26"/>
      <c r="C826" s="26"/>
      <c r="D826" s="26"/>
      <c r="E826" s="26"/>
      <c r="F826" s="1"/>
      <c r="G826" s="1"/>
      <c r="H826" s="1"/>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2.75" x14ac:dyDescent="0.2">
      <c r="A827" s="29"/>
      <c r="B827" s="26"/>
      <c r="C827" s="26"/>
      <c r="D827" s="26"/>
      <c r="E827" s="26"/>
      <c r="F827" s="1"/>
      <c r="G827" s="1"/>
      <c r="H827" s="1"/>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2.75" x14ac:dyDescent="0.2">
      <c r="A828" s="29"/>
      <c r="B828" s="26"/>
      <c r="C828" s="26"/>
      <c r="D828" s="26"/>
      <c r="E828" s="26"/>
      <c r="F828" s="1"/>
      <c r="G828" s="1"/>
      <c r="H828" s="1"/>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2.75" x14ac:dyDescent="0.2">
      <c r="A829" s="29"/>
      <c r="B829" s="26"/>
      <c r="C829" s="26"/>
      <c r="D829" s="26"/>
      <c r="E829" s="26"/>
      <c r="F829" s="1"/>
      <c r="G829" s="1"/>
      <c r="H829" s="1"/>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2.75" x14ac:dyDescent="0.2">
      <c r="A830" s="29"/>
      <c r="B830" s="26"/>
      <c r="C830" s="26"/>
      <c r="D830" s="26"/>
      <c r="E830" s="26"/>
      <c r="F830" s="1"/>
      <c r="G830" s="1"/>
      <c r="H830" s="1"/>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2.75" x14ac:dyDescent="0.2">
      <c r="A831" s="29"/>
      <c r="B831" s="26"/>
      <c r="C831" s="26"/>
      <c r="D831" s="26"/>
      <c r="E831" s="26"/>
      <c r="F831" s="1"/>
      <c r="G831" s="1"/>
      <c r="H831" s="1"/>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2.75" x14ac:dyDescent="0.2">
      <c r="A832" s="29"/>
      <c r="B832" s="26"/>
      <c r="C832" s="26"/>
      <c r="D832" s="26"/>
      <c r="E832" s="26"/>
      <c r="F832" s="1"/>
      <c r="G832" s="1"/>
      <c r="H832" s="1"/>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2.75" x14ac:dyDescent="0.2">
      <c r="A833" s="29"/>
      <c r="B833" s="26"/>
      <c r="C833" s="26"/>
      <c r="D833" s="26"/>
      <c r="E833" s="26"/>
      <c r="F833" s="1"/>
      <c r="G833" s="1"/>
      <c r="H833" s="1"/>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2.75" x14ac:dyDescent="0.2">
      <c r="A834" s="29"/>
      <c r="B834" s="26"/>
      <c r="C834" s="26"/>
      <c r="D834" s="26"/>
      <c r="E834" s="26"/>
      <c r="F834" s="1"/>
      <c r="G834" s="1"/>
      <c r="H834" s="1"/>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2.75" x14ac:dyDescent="0.2">
      <c r="A835" s="29"/>
      <c r="B835" s="26"/>
      <c r="C835" s="26"/>
      <c r="D835" s="26"/>
      <c r="E835" s="26"/>
      <c r="F835" s="1"/>
      <c r="G835" s="1"/>
      <c r="H835" s="1"/>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2.75" x14ac:dyDescent="0.2">
      <c r="A836" s="29"/>
      <c r="B836" s="26"/>
      <c r="C836" s="26"/>
      <c r="D836" s="26"/>
      <c r="E836" s="26"/>
      <c r="F836" s="1"/>
      <c r="G836" s="1"/>
      <c r="H836" s="1"/>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2.75" x14ac:dyDescent="0.2">
      <c r="A837" s="29"/>
      <c r="B837" s="26"/>
      <c r="C837" s="26"/>
      <c r="D837" s="26"/>
      <c r="E837" s="26"/>
      <c r="F837" s="1"/>
      <c r="G837" s="1"/>
      <c r="H837" s="1"/>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2.75" x14ac:dyDescent="0.2">
      <c r="A838" s="29"/>
      <c r="B838" s="26"/>
      <c r="C838" s="26"/>
      <c r="D838" s="26"/>
      <c r="E838" s="26"/>
      <c r="F838" s="1"/>
      <c r="G838" s="1"/>
      <c r="H838" s="1"/>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2.75" x14ac:dyDescent="0.2">
      <c r="A839" s="29"/>
      <c r="B839" s="26"/>
      <c r="C839" s="26"/>
      <c r="D839" s="26"/>
      <c r="E839" s="26"/>
      <c r="F839" s="1"/>
      <c r="G839" s="1"/>
      <c r="H839" s="1"/>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2.75" x14ac:dyDescent="0.2">
      <c r="A840" s="29"/>
      <c r="B840" s="26"/>
      <c r="C840" s="26"/>
      <c r="D840" s="26"/>
      <c r="E840" s="26"/>
      <c r="F840" s="1"/>
      <c r="G840" s="1"/>
      <c r="H840" s="1"/>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2.75" x14ac:dyDescent="0.2">
      <c r="A841" s="29"/>
      <c r="B841" s="26"/>
      <c r="C841" s="26"/>
      <c r="D841" s="26"/>
      <c r="E841" s="26"/>
      <c r="F841" s="1"/>
      <c r="G841" s="1"/>
      <c r="H841" s="1"/>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2.75" x14ac:dyDescent="0.2">
      <c r="A842" s="29"/>
      <c r="B842" s="26"/>
      <c r="C842" s="26"/>
      <c r="D842" s="26"/>
      <c r="E842" s="26"/>
      <c r="F842" s="1"/>
      <c r="G842" s="1"/>
      <c r="H842" s="1"/>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2.75" x14ac:dyDescent="0.2">
      <c r="A843" s="29"/>
      <c r="B843" s="26"/>
      <c r="C843" s="26"/>
      <c r="D843" s="26"/>
      <c r="E843" s="26"/>
      <c r="F843" s="1"/>
      <c r="G843" s="1"/>
      <c r="H843" s="1"/>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2.75" x14ac:dyDescent="0.2">
      <c r="A844" s="29"/>
      <c r="B844" s="26"/>
      <c r="C844" s="26"/>
      <c r="D844" s="26"/>
      <c r="E844" s="26"/>
      <c r="F844" s="1"/>
      <c r="G844" s="1"/>
      <c r="H844" s="1"/>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2.75" x14ac:dyDescent="0.2">
      <c r="A845" s="29"/>
      <c r="B845" s="26"/>
      <c r="C845" s="26"/>
      <c r="D845" s="26"/>
      <c r="E845" s="26"/>
      <c r="F845" s="1"/>
      <c r="G845" s="1"/>
      <c r="H845" s="1"/>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2.75" x14ac:dyDescent="0.2">
      <c r="A846" s="29"/>
      <c r="B846" s="26"/>
      <c r="C846" s="26"/>
      <c r="D846" s="26"/>
      <c r="E846" s="26"/>
      <c r="F846" s="1"/>
      <c r="G846" s="1"/>
      <c r="H846" s="1"/>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2.75" x14ac:dyDescent="0.2">
      <c r="A847" s="29"/>
      <c r="B847" s="26"/>
      <c r="C847" s="26"/>
      <c r="D847" s="26"/>
      <c r="E847" s="26"/>
      <c r="F847" s="1"/>
      <c r="G847" s="1"/>
      <c r="H847" s="1"/>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2.75" x14ac:dyDescent="0.2">
      <c r="A848" s="29"/>
      <c r="B848" s="26"/>
      <c r="C848" s="26"/>
      <c r="D848" s="26"/>
      <c r="E848" s="26"/>
      <c r="F848" s="1"/>
      <c r="G848" s="1"/>
      <c r="H848" s="1"/>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2.75" x14ac:dyDescent="0.2">
      <c r="A849" s="29"/>
      <c r="B849" s="26"/>
      <c r="C849" s="26"/>
      <c r="D849" s="26"/>
      <c r="E849" s="26"/>
      <c r="F849" s="1"/>
      <c r="G849" s="1"/>
      <c r="H849" s="1"/>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2.75" x14ac:dyDescent="0.2">
      <c r="A850" s="29"/>
      <c r="B850" s="26"/>
      <c r="C850" s="26"/>
      <c r="D850" s="26"/>
      <c r="E850" s="26"/>
      <c r="F850" s="1"/>
      <c r="G850" s="1"/>
      <c r="H850" s="1"/>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2.75" x14ac:dyDescent="0.2">
      <c r="A851" s="29"/>
      <c r="B851" s="26"/>
      <c r="C851" s="26"/>
      <c r="D851" s="26"/>
      <c r="E851" s="26"/>
      <c r="F851" s="1"/>
      <c r="G851" s="1"/>
      <c r="H851" s="1"/>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2.75" x14ac:dyDescent="0.2">
      <c r="A852" s="29"/>
      <c r="B852" s="26"/>
      <c r="C852" s="26"/>
      <c r="D852" s="26"/>
      <c r="E852" s="26"/>
      <c r="F852" s="1"/>
      <c r="G852" s="1"/>
      <c r="H852" s="1"/>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2.75" x14ac:dyDescent="0.2">
      <c r="A853" s="29"/>
      <c r="B853" s="26"/>
      <c r="C853" s="26"/>
      <c r="D853" s="26"/>
      <c r="E853" s="26"/>
      <c r="F853" s="1"/>
      <c r="G853" s="1"/>
      <c r="H853" s="1"/>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2.75" x14ac:dyDescent="0.2">
      <c r="A854" s="29"/>
      <c r="B854" s="26"/>
      <c r="C854" s="26"/>
      <c r="D854" s="26"/>
      <c r="E854" s="26"/>
      <c r="F854" s="1"/>
      <c r="G854" s="1"/>
      <c r="H854" s="1"/>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2.75" x14ac:dyDescent="0.2">
      <c r="A855" s="29"/>
      <c r="B855" s="26"/>
      <c r="C855" s="26"/>
      <c r="D855" s="26"/>
      <c r="E855" s="26"/>
      <c r="F855" s="1"/>
      <c r="G855" s="1"/>
      <c r="H855" s="1"/>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2.75" x14ac:dyDescent="0.2">
      <c r="A856" s="29"/>
      <c r="B856" s="26"/>
      <c r="C856" s="26"/>
      <c r="D856" s="26"/>
      <c r="E856" s="26"/>
      <c r="F856" s="1"/>
      <c r="G856" s="1"/>
      <c r="H856" s="1"/>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2.75" x14ac:dyDescent="0.2">
      <c r="A857" s="29"/>
      <c r="B857" s="26"/>
      <c r="C857" s="26"/>
      <c r="D857" s="26"/>
      <c r="E857" s="26"/>
      <c r="F857" s="1"/>
      <c r="G857" s="1"/>
      <c r="H857" s="1"/>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2.75" x14ac:dyDescent="0.2">
      <c r="A858" s="29"/>
      <c r="B858" s="26"/>
      <c r="C858" s="26"/>
      <c r="D858" s="26"/>
      <c r="E858" s="26"/>
      <c r="F858" s="1"/>
      <c r="G858" s="1"/>
      <c r="H858" s="1"/>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2.75" x14ac:dyDescent="0.2">
      <c r="A859" s="29"/>
      <c r="B859" s="26"/>
      <c r="C859" s="26"/>
      <c r="D859" s="26"/>
      <c r="E859" s="26"/>
      <c r="F859" s="1"/>
      <c r="G859" s="1"/>
      <c r="H859" s="1"/>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2.75" x14ac:dyDescent="0.2">
      <c r="A860" s="29"/>
      <c r="B860" s="26"/>
      <c r="C860" s="26"/>
      <c r="D860" s="26"/>
      <c r="E860" s="26"/>
      <c r="F860" s="1"/>
      <c r="G860" s="1"/>
      <c r="H860" s="1"/>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2.75" x14ac:dyDescent="0.2">
      <c r="A861" s="29"/>
      <c r="B861" s="26"/>
      <c r="C861" s="26"/>
      <c r="D861" s="26"/>
      <c r="E861" s="26"/>
      <c r="F861" s="1"/>
      <c r="G861" s="1"/>
      <c r="H861" s="1"/>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2.75" x14ac:dyDescent="0.2">
      <c r="A862" s="29"/>
      <c r="B862" s="26"/>
      <c r="C862" s="26"/>
      <c r="D862" s="26"/>
      <c r="E862" s="26"/>
      <c r="F862" s="1"/>
      <c r="G862" s="1"/>
      <c r="H862" s="1"/>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2.75" x14ac:dyDescent="0.2">
      <c r="A863" s="29"/>
      <c r="B863" s="26"/>
      <c r="C863" s="26"/>
      <c r="D863" s="26"/>
      <c r="E863" s="26"/>
      <c r="F863" s="1"/>
      <c r="G863" s="1"/>
      <c r="H863" s="1"/>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2.75" x14ac:dyDescent="0.2">
      <c r="A864" s="29"/>
      <c r="B864" s="26"/>
      <c r="C864" s="26"/>
      <c r="D864" s="26"/>
      <c r="E864" s="26"/>
      <c r="F864" s="1"/>
      <c r="G864" s="1"/>
      <c r="H864" s="1"/>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2.75" x14ac:dyDescent="0.2">
      <c r="A865" s="29"/>
      <c r="B865" s="26"/>
      <c r="C865" s="26"/>
      <c r="D865" s="26"/>
      <c r="E865" s="26"/>
      <c r="F865" s="1"/>
      <c r="G865" s="1"/>
      <c r="H865" s="1"/>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2.75" x14ac:dyDescent="0.2">
      <c r="A866" s="29"/>
      <c r="B866" s="26"/>
      <c r="C866" s="26"/>
      <c r="D866" s="26"/>
      <c r="E866" s="26"/>
      <c r="F866" s="1"/>
      <c r="G866" s="1"/>
      <c r="H866" s="1"/>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2.75" x14ac:dyDescent="0.2">
      <c r="A867" s="29"/>
      <c r="B867" s="26"/>
      <c r="C867" s="26"/>
      <c r="D867" s="26"/>
      <c r="E867" s="26"/>
      <c r="F867" s="1"/>
      <c r="G867" s="1"/>
      <c r="H867" s="1"/>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2.75" x14ac:dyDescent="0.2">
      <c r="A868" s="29"/>
      <c r="B868" s="26"/>
      <c r="C868" s="26"/>
      <c r="D868" s="26"/>
      <c r="E868" s="26"/>
      <c r="F868" s="1"/>
      <c r="G868" s="1"/>
      <c r="H868" s="1"/>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2.75" x14ac:dyDescent="0.2">
      <c r="A869" s="29"/>
      <c r="B869" s="26"/>
      <c r="C869" s="26"/>
      <c r="D869" s="26"/>
      <c r="E869" s="26"/>
      <c r="F869" s="1"/>
      <c r="G869" s="1"/>
      <c r="H869" s="1"/>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2.75" x14ac:dyDescent="0.2">
      <c r="A870" s="29"/>
      <c r="B870" s="26"/>
      <c r="C870" s="26"/>
      <c r="D870" s="26"/>
      <c r="E870" s="26"/>
      <c r="F870" s="1"/>
      <c r="G870" s="1"/>
      <c r="H870" s="1"/>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2.75" x14ac:dyDescent="0.2">
      <c r="A871" s="29"/>
      <c r="B871" s="26"/>
      <c r="C871" s="26"/>
      <c r="D871" s="26"/>
      <c r="E871" s="26"/>
      <c r="F871" s="1"/>
      <c r="G871" s="1"/>
      <c r="H871" s="1"/>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2.75" x14ac:dyDescent="0.2">
      <c r="A872" s="29"/>
      <c r="B872" s="26"/>
      <c r="C872" s="26"/>
      <c r="D872" s="26"/>
      <c r="E872" s="26"/>
      <c r="F872" s="1"/>
      <c r="G872" s="1"/>
      <c r="H872" s="1"/>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2.75" x14ac:dyDescent="0.2">
      <c r="A873" s="29"/>
      <c r="B873" s="26"/>
      <c r="C873" s="26"/>
      <c r="D873" s="26"/>
      <c r="E873" s="26"/>
      <c r="F873" s="1"/>
      <c r="G873" s="1"/>
      <c r="H873" s="1"/>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2.75" x14ac:dyDescent="0.2">
      <c r="A874" s="29"/>
      <c r="B874" s="26"/>
      <c r="C874" s="26"/>
      <c r="D874" s="26"/>
      <c r="E874" s="26"/>
      <c r="F874" s="1"/>
      <c r="G874" s="1"/>
      <c r="H874" s="1"/>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2.75" x14ac:dyDescent="0.2">
      <c r="A875" s="29"/>
      <c r="B875" s="26"/>
      <c r="C875" s="26"/>
      <c r="D875" s="26"/>
      <c r="E875" s="26"/>
      <c r="F875" s="1"/>
      <c r="G875" s="1"/>
      <c r="H875" s="1"/>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2.75" x14ac:dyDescent="0.2">
      <c r="A876" s="29"/>
      <c r="B876" s="26"/>
      <c r="C876" s="26"/>
      <c r="D876" s="26"/>
      <c r="E876" s="26"/>
      <c r="F876" s="1"/>
      <c r="G876" s="1"/>
      <c r="H876" s="1"/>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2.75" x14ac:dyDescent="0.2">
      <c r="A877" s="29"/>
      <c r="B877" s="26"/>
      <c r="C877" s="26"/>
      <c r="D877" s="26"/>
      <c r="E877" s="26"/>
      <c r="F877" s="1"/>
      <c r="G877" s="1"/>
      <c r="H877" s="1"/>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2.75" x14ac:dyDescent="0.2">
      <c r="A878" s="29"/>
      <c r="B878" s="26"/>
      <c r="C878" s="26"/>
      <c r="D878" s="26"/>
      <c r="E878" s="26"/>
      <c r="F878" s="1"/>
      <c r="G878" s="1"/>
      <c r="H878" s="1"/>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2.75" x14ac:dyDescent="0.2">
      <c r="A879" s="29"/>
      <c r="B879" s="26"/>
      <c r="C879" s="26"/>
      <c r="D879" s="26"/>
      <c r="E879" s="26"/>
      <c r="F879" s="1"/>
      <c r="G879" s="1"/>
      <c r="H879" s="1"/>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2.75" x14ac:dyDescent="0.2">
      <c r="A880" s="29"/>
      <c r="B880" s="26"/>
      <c r="C880" s="26"/>
      <c r="D880" s="26"/>
      <c r="E880" s="26"/>
      <c r="F880" s="1"/>
      <c r="G880" s="1"/>
      <c r="H880" s="1"/>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2.75" x14ac:dyDescent="0.2">
      <c r="A881" s="29"/>
      <c r="B881" s="26"/>
      <c r="C881" s="26"/>
      <c r="D881" s="26"/>
      <c r="E881" s="26"/>
      <c r="F881" s="1"/>
      <c r="G881" s="1"/>
      <c r="H881" s="1"/>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2.75" x14ac:dyDescent="0.2">
      <c r="A882" s="29"/>
      <c r="B882" s="26"/>
      <c r="C882" s="26"/>
      <c r="D882" s="26"/>
      <c r="E882" s="26"/>
      <c r="F882" s="1"/>
      <c r="G882" s="1"/>
      <c r="H882" s="1"/>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2.75" x14ac:dyDescent="0.2">
      <c r="A883" s="29"/>
      <c r="B883" s="26"/>
      <c r="C883" s="26"/>
      <c r="D883" s="26"/>
      <c r="E883" s="26"/>
      <c r="F883" s="1"/>
      <c r="G883" s="1"/>
      <c r="H883" s="1"/>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2.75" x14ac:dyDescent="0.2">
      <c r="A884" s="29"/>
      <c r="B884" s="26"/>
      <c r="C884" s="26"/>
      <c r="D884" s="26"/>
      <c r="E884" s="26"/>
      <c r="F884" s="1"/>
      <c r="G884" s="1"/>
      <c r="H884" s="1"/>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2.75" x14ac:dyDescent="0.2">
      <c r="A885" s="29"/>
      <c r="B885" s="26"/>
      <c r="C885" s="26"/>
      <c r="D885" s="26"/>
      <c r="E885" s="26"/>
      <c r="F885" s="1"/>
      <c r="G885" s="1"/>
      <c r="H885" s="1"/>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2.75" x14ac:dyDescent="0.2">
      <c r="A886" s="29"/>
      <c r="B886" s="26"/>
      <c r="C886" s="26"/>
      <c r="D886" s="26"/>
      <c r="E886" s="26"/>
      <c r="F886" s="1"/>
      <c r="G886" s="1"/>
      <c r="H886" s="1"/>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2.75" x14ac:dyDescent="0.2">
      <c r="A887" s="29"/>
      <c r="B887" s="26"/>
      <c r="C887" s="26"/>
      <c r="D887" s="26"/>
      <c r="E887" s="26"/>
      <c r="F887" s="1"/>
      <c r="G887" s="1"/>
      <c r="H887" s="1"/>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2.75" x14ac:dyDescent="0.2">
      <c r="A888" s="29"/>
      <c r="B888" s="26"/>
      <c r="C888" s="26"/>
      <c r="D888" s="26"/>
      <c r="E888" s="26"/>
      <c r="F888" s="1"/>
      <c r="G888" s="1"/>
      <c r="H888" s="1"/>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2.75" x14ac:dyDescent="0.2">
      <c r="A889" s="29"/>
      <c r="B889" s="26"/>
      <c r="C889" s="26"/>
      <c r="D889" s="26"/>
      <c r="E889" s="26"/>
      <c r="F889" s="1"/>
      <c r="G889" s="1"/>
      <c r="H889" s="1"/>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2.75" x14ac:dyDescent="0.2">
      <c r="A890" s="29"/>
      <c r="B890" s="26"/>
      <c r="C890" s="26"/>
      <c r="D890" s="26"/>
      <c r="E890" s="26"/>
      <c r="F890" s="1"/>
      <c r="G890" s="1"/>
      <c r="H890" s="1"/>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2.75" x14ac:dyDescent="0.2">
      <c r="A891" s="29"/>
      <c r="B891" s="26"/>
      <c r="C891" s="26"/>
      <c r="D891" s="26"/>
      <c r="E891" s="26"/>
      <c r="F891" s="1"/>
      <c r="G891" s="1"/>
      <c r="H891" s="1"/>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2.75" x14ac:dyDescent="0.2">
      <c r="A892" s="29"/>
      <c r="B892" s="26"/>
      <c r="C892" s="26"/>
      <c r="D892" s="26"/>
      <c r="E892" s="26"/>
      <c r="F892" s="1"/>
      <c r="G892" s="1"/>
      <c r="H892" s="1"/>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2.75" x14ac:dyDescent="0.2">
      <c r="A893" s="29"/>
      <c r="B893" s="26"/>
      <c r="C893" s="26"/>
      <c r="D893" s="26"/>
      <c r="E893" s="26"/>
      <c r="F893" s="1"/>
      <c r="G893" s="1"/>
      <c r="H893" s="1"/>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2.75" x14ac:dyDescent="0.2">
      <c r="A894" s="29"/>
      <c r="B894" s="26"/>
      <c r="C894" s="26"/>
      <c r="D894" s="26"/>
      <c r="E894" s="26"/>
      <c r="F894" s="1"/>
      <c r="G894" s="1"/>
      <c r="H894" s="1"/>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2.75" x14ac:dyDescent="0.2">
      <c r="A895" s="29"/>
      <c r="B895" s="26"/>
      <c r="C895" s="26"/>
      <c r="D895" s="26"/>
      <c r="E895" s="26"/>
      <c r="F895" s="1"/>
      <c r="G895" s="1"/>
      <c r="H895" s="1"/>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2.75" x14ac:dyDescent="0.2">
      <c r="A896" s="29"/>
      <c r="B896" s="26"/>
      <c r="C896" s="26"/>
      <c r="D896" s="26"/>
      <c r="E896" s="26"/>
      <c r="F896" s="1"/>
      <c r="G896" s="1"/>
      <c r="H896" s="1"/>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2.75" x14ac:dyDescent="0.2">
      <c r="A897" s="29"/>
      <c r="B897" s="26"/>
      <c r="C897" s="26"/>
      <c r="D897" s="26"/>
      <c r="E897" s="26"/>
      <c r="F897" s="1"/>
      <c r="G897" s="1"/>
      <c r="H897" s="1"/>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2.75" x14ac:dyDescent="0.2">
      <c r="A898" s="29"/>
      <c r="B898" s="26"/>
      <c r="C898" s="26"/>
      <c r="D898" s="26"/>
      <c r="E898" s="26"/>
      <c r="F898" s="1"/>
      <c r="G898" s="1"/>
      <c r="H898" s="1"/>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2.75" x14ac:dyDescent="0.2">
      <c r="A899" s="29"/>
      <c r="B899" s="26"/>
      <c r="C899" s="26"/>
      <c r="D899" s="26"/>
      <c r="E899" s="26"/>
      <c r="F899" s="1"/>
      <c r="G899" s="1"/>
      <c r="H899" s="1"/>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2.75" x14ac:dyDescent="0.2">
      <c r="A900" s="29"/>
      <c r="B900" s="26"/>
      <c r="C900" s="26"/>
      <c r="D900" s="26"/>
      <c r="E900" s="26"/>
      <c r="F900" s="1"/>
      <c r="G900" s="1"/>
      <c r="H900" s="1"/>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2.75" x14ac:dyDescent="0.2">
      <c r="A901" s="29"/>
      <c r="B901" s="26"/>
      <c r="C901" s="26"/>
      <c r="D901" s="26"/>
      <c r="E901" s="26"/>
      <c r="F901" s="1"/>
      <c r="G901" s="1"/>
      <c r="H901" s="1"/>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2.75" x14ac:dyDescent="0.2">
      <c r="A902" s="29"/>
      <c r="B902" s="26"/>
      <c r="C902" s="26"/>
      <c r="D902" s="26"/>
      <c r="E902" s="26"/>
      <c r="F902" s="1"/>
      <c r="G902" s="1"/>
      <c r="H902" s="1"/>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2.75" x14ac:dyDescent="0.2">
      <c r="A903" s="29"/>
      <c r="B903" s="26"/>
      <c r="C903" s="26"/>
      <c r="D903" s="26"/>
      <c r="E903" s="26"/>
      <c r="F903" s="1"/>
      <c r="G903" s="1"/>
      <c r="H903" s="1"/>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2.75" x14ac:dyDescent="0.2">
      <c r="A904" s="29"/>
      <c r="B904" s="26"/>
      <c r="C904" s="26"/>
      <c r="D904" s="26"/>
      <c r="E904" s="26"/>
      <c r="F904" s="1"/>
      <c r="G904" s="1"/>
      <c r="H904" s="1"/>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2.75" x14ac:dyDescent="0.2">
      <c r="A905" s="29"/>
      <c r="B905" s="26"/>
      <c r="C905" s="26"/>
      <c r="D905" s="26"/>
      <c r="E905" s="26"/>
      <c r="F905" s="1"/>
      <c r="G905" s="1"/>
      <c r="H905" s="1"/>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2.75" x14ac:dyDescent="0.2">
      <c r="A906" s="29"/>
      <c r="B906" s="26"/>
      <c r="C906" s="26"/>
      <c r="D906" s="26"/>
      <c r="E906" s="26"/>
      <c r="F906" s="1"/>
      <c r="G906" s="1"/>
      <c r="H906" s="1"/>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2.75" x14ac:dyDescent="0.2">
      <c r="A907" s="29"/>
      <c r="B907" s="26"/>
      <c r="C907" s="26"/>
      <c r="D907" s="26"/>
      <c r="E907" s="26"/>
      <c r="F907" s="1"/>
      <c r="G907" s="1"/>
      <c r="H907" s="1"/>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2.75" x14ac:dyDescent="0.2">
      <c r="A908" s="29"/>
      <c r="B908" s="26"/>
      <c r="C908" s="26"/>
      <c r="D908" s="26"/>
      <c r="E908" s="26"/>
      <c r="F908" s="1"/>
      <c r="G908" s="1"/>
      <c r="H908" s="1"/>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2.75" x14ac:dyDescent="0.2">
      <c r="A909" s="29"/>
      <c r="B909" s="26"/>
      <c r="C909" s="26"/>
      <c r="D909" s="26"/>
      <c r="E909" s="26"/>
      <c r="F909" s="1"/>
      <c r="G909" s="1"/>
      <c r="H909" s="1"/>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2.75" x14ac:dyDescent="0.2">
      <c r="A910" s="29"/>
      <c r="B910" s="26"/>
      <c r="C910" s="26"/>
      <c r="D910" s="26"/>
      <c r="E910" s="26"/>
      <c r="F910" s="1"/>
      <c r="G910" s="1"/>
      <c r="H910" s="1"/>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2.75" x14ac:dyDescent="0.2">
      <c r="A911" s="29"/>
      <c r="B911" s="26"/>
      <c r="C911" s="26"/>
      <c r="D911" s="26"/>
      <c r="E911" s="26"/>
      <c r="F911" s="1"/>
      <c r="G911" s="1"/>
      <c r="H911" s="1"/>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2.75" x14ac:dyDescent="0.2">
      <c r="A912" s="29"/>
      <c r="B912" s="26"/>
      <c r="C912" s="26"/>
      <c r="D912" s="26"/>
      <c r="E912" s="26"/>
      <c r="F912" s="1"/>
      <c r="G912" s="1"/>
      <c r="H912" s="1"/>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2.75" x14ac:dyDescent="0.2">
      <c r="A913" s="29"/>
      <c r="B913" s="26"/>
      <c r="C913" s="26"/>
      <c r="D913" s="26"/>
      <c r="E913" s="26"/>
      <c r="F913" s="1"/>
      <c r="G913" s="1"/>
      <c r="H913" s="1"/>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2.75" x14ac:dyDescent="0.2">
      <c r="A914" s="29"/>
      <c r="B914" s="26"/>
      <c r="C914" s="26"/>
      <c r="D914" s="26"/>
      <c r="E914" s="26"/>
      <c r="F914" s="1"/>
      <c r="G914" s="1"/>
      <c r="H914" s="1"/>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2.75" x14ac:dyDescent="0.2">
      <c r="A915" s="29"/>
      <c r="B915" s="26"/>
      <c r="C915" s="26"/>
      <c r="D915" s="26"/>
      <c r="E915" s="26"/>
      <c r="F915" s="1"/>
      <c r="G915" s="1"/>
      <c r="H915" s="1"/>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2.75" x14ac:dyDescent="0.2">
      <c r="A916" s="29"/>
      <c r="B916" s="26"/>
      <c r="C916" s="26"/>
      <c r="D916" s="26"/>
      <c r="E916" s="26"/>
      <c r="F916" s="1"/>
      <c r="G916" s="1"/>
      <c r="H916" s="1"/>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2.75" x14ac:dyDescent="0.2">
      <c r="A917" s="29"/>
      <c r="B917" s="26"/>
      <c r="C917" s="26"/>
      <c r="D917" s="26"/>
      <c r="E917" s="26"/>
      <c r="F917" s="1"/>
      <c r="G917" s="1"/>
      <c r="H917" s="1"/>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2.75" x14ac:dyDescent="0.2">
      <c r="A918" s="29"/>
      <c r="B918" s="26"/>
      <c r="C918" s="26"/>
      <c r="D918" s="26"/>
      <c r="E918" s="26"/>
      <c r="F918" s="1"/>
      <c r="G918" s="1"/>
      <c r="H918" s="1"/>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2.75" x14ac:dyDescent="0.2">
      <c r="A919" s="29"/>
      <c r="B919" s="26"/>
      <c r="C919" s="26"/>
      <c r="D919" s="26"/>
      <c r="E919" s="26"/>
      <c r="F919" s="1"/>
      <c r="G919" s="1"/>
      <c r="H919" s="1"/>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2.75" x14ac:dyDescent="0.2">
      <c r="A920" s="29"/>
      <c r="B920" s="26"/>
      <c r="C920" s="26"/>
      <c r="D920" s="26"/>
      <c r="E920" s="26"/>
      <c r="F920" s="1"/>
      <c r="G920" s="1"/>
      <c r="H920" s="1"/>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2.75" x14ac:dyDescent="0.2">
      <c r="A921" s="29"/>
      <c r="B921" s="26"/>
      <c r="C921" s="26"/>
      <c r="D921" s="26"/>
      <c r="E921" s="26"/>
      <c r="F921" s="1"/>
      <c r="G921" s="1"/>
      <c r="H921" s="1"/>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2.75" x14ac:dyDescent="0.2">
      <c r="A922" s="29"/>
      <c r="B922" s="26"/>
      <c r="C922" s="26"/>
      <c r="D922" s="26"/>
      <c r="E922" s="26"/>
      <c r="F922" s="1"/>
      <c r="G922" s="1"/>
      <c r="H922" s="1"/>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2.75" x14ac:dyDescent="0.2">
      <c r="A923" s="29"/>
      <c r="B923" s="26"/>
      <c r="C923" s="26"/>
      <c r="D923" s="26"/>
      <c r="E923" s="26"/>
      <c r="F923" s="1"/>
      <c r="G923" s="1"/>
      <c r="H923" s="1"/>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2.75" x14ac:dyDescent="0.2">
      <c r="A924" s="29"/>
      <c r="B924" s="26"/>
      <c r="C924" s="26"/>
      <c r="D924" s="26"/>
      <c r="E924" s="26"/>
      <c r="F924" s="1"/>
      <c r="G924" s="1"/>
      <c r="H924" s="1"/>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2.75" x14ac:dyDescent="0.2">
      <c r="A925" s="29"/>
      <c r="B925" s="26"/>
      <c r="C925" s="26"/>
      <c r="D925" s="26"/>
      <c r="E925" s="26"/>
      <c r="F925" s="1"/>
      <c r="G925" s="1"/>
      <c r="H925" s="1"/>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2.75" x14ac:dyDescent="0.2">
      <c r="A926" s="29"/>
      <c r="B926" s="26"/>
      <c r="C926" s="26"/>
      <c r="D926" s="26"/>
      <c r="E926" s="26"/>
      <c r="F926" s="1"/>
      <c r="G926" s="1"/>
      <c r="H926" s="1"/>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2.75" x14ac:dyDescent="0.2">
      <c r="A927" s="29"/>
      <c r="B927" s="26"/>
      <c r="C927" s="26"/>
      <c r="D927" s="26"/>
      <c r="E927" s="26"/>
      <c r="F927" s="1"/>
      <c r="G927" s="1"/>
      <c r="H927" s="1"/>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2.75" x14ac:dyDescent="0.2">
      <c r="A928" s="29"/>
      <c r="B928" s="26"/>
      <c r="C928" s="26"/>
      <c r="D928" s="26"/>
      <c r="E928" s="26"/>
      <c r="F928" s="1"/>
      <c r="G928" s="1"/>
      <c r="H928" s="1"/>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2.75" x14ac:dyDescent="0.2">
      <c r="A929" s="29"/>
      <c r="B929" s="26"/>
      <c r="C929" s="26"/>
      <c r="D929" s="26"/>
      <c r="E929" s="26"/>
      <c r="F929" s="1"/>
      <c r="G929" s="1"/>
      <c r="H929" s="1"/>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2.75" x14ac:dyDescent="0.2">
      <c r="A930" s="29"/>
      <c r="B930" s="26"/>
      <c r="C930" s="26"/>
      <c r="D930" s="26"/>
      <c r="E930" s="26"/>
      <c r="F930" s="1"/>
      <c r="G930" s="1"/>
      <c r="H930" s="1"/>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2.75" x14ac:dyDescent="0.2">
      <c r="A931" s="29"/>
      <c r="B931" s="26"/>
      <c r="C931" s="26"/>
      <c r="D931" s="26"/>
      <c r="E931" s="26"/>
      <c r="F931" s="1"/>
      <c r="G931" s="1"/>
      <c r="H931" s="1"/>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2.75" x14ac:dyDescent="0.2">
      <c r="A932" s="29"/>
      <c r="B932" s="26"/>
      <c r="C932" s="26"/>
      <c r="D932" s="26"/>
      <c r="E932" s="26"/>
      <c r="F932" s="1"/>
      <c r="G932" s="1"/>
      <c r="H932" s="1"/>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2.75" x14ac:dyDescent="0.2">
      <c r="A933" s="29"/>
      <c r="B933" s="26"/>
      <c r="C933" s="26"/>
      <c r="D933" s="26"/>
      <c r="E933" s="26"/>
      <c r="F933" s="1"/>
      <c r="G933" s="1"/>
      <c r="H933" s="1"/>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2.75" x14ac:dyDescent="0.2">
      <c r="A934" s="29"/>
      <c r="B934" s="26"/>
      <c r="C934" s="26"/>
      <c r="D934" s="26"/>
      <c r="E934" s="26"/>
      <c r="F934" s="1"/>
      <c r="G934" s="1"/>
      <c r="H934" s="1"/>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2.75" x14ac:dyDescent="0.2">
      <c r="A935" s="29"/>
      <c r="B935" s="26"/>
      <c r="C935" s="26"/>
      <c r="D935" s="26"/>
      <c r="E935" s="26"/>
      <c r="F935" s="1"/>
      <c r="G935" s="1"/>
      <c r="H935" s="1"/>
      <c r="I935" s="3"/>
      <c r="J935" s="3"/>
      <c r="K935" s="3"/>
      <c r="L935" s="3"/>
      <c r="M935" s="3"/>
      <c r="N935" s="3"/>
      <c r="O935" s="3"/>
      <c r="P935" s="3"/>
      <c r="Q935" s="3"/>
      <c r="R935" s="3"/>
      <c r="S935" s="3"/>
      <c r="T935" s="3"/>
      <c r="U935" s="3"/>
      <c r="V935" s="3"/>
      <c r="W935" s="3"/>
      <c r="X935" s="3"/>
      <c r="Y935" s="3"/>
      <c r="Z935" s="3"/>
      <c r="AA935" s="3"/>
      <c r="AB935" s="3"/>
      <c r="AC935" s="3"/>
      <c r="AD935" s="3"/>
      <c r="AE935" s="3"/>
      <c r="AF935" s="3"/>
    </row>
    <row r="936" spans="1:32" ht="12.75" x14ac:dyDescent="0.2">
      <c r="A936" s="29"/>
      <c r="B936" s="26"/>
      <c r="C936" s="26"/>
      <c r="D936" s="26"/>
      <c r="E936" s="26"/>
      <c r="F936" s="1"/>
      <c r="G936" s="1"/>
      <c r="H936" s="1"/>
      <c r="I936" s="3"/>
      <c r="J936" s="3"/>
      <c r="K936" s="3"/>
      <c r="L936" s="3"/>
      <c r="M936" s="3"/>
      <c r="N936" s="3"/>
      <c r="O936" s="3"/>
      <c r="P936" s="3"/>
      <c r="Q936" s="3"/>
      <c r="R936" s="3"/>
      <c r="S936" s="3"/>
      <c r="T936" s="3"/>
      <c r="U936" s="3"/>
      <c r="V936" s="3"/>
      <c r="W936" s="3"/>
      <c r="X936" s="3"/>
      <c r="Y936" s="3"/>
      <c r="Z936" s="3"/>
      <c r="AA936" s="3"/>
      <c r="AB936" s="3"/>
      <c r="AC936" s="3"/>
      <c r="AD936" s="3"/>
      <c r="AE936" s="3"/>
      <c r="AF936" s="3"/>
    </row>
    <row r="937" spans="1:32" ht="12.75" x14ac:dyDescent="0.2">
      <c r="A937" s="29"/>
      <c r="B937" s="26"/>
      <c r="C937" s="26"/>
      <c r="D937" s="26"/>
      <c r="E937" s="26"/>
      <c r="F937" s="1"/>
      <c r="G937" s="1"/>
      <c r="H937" s="1"/>
      <c r="I937" s="3"/>
      <c r="J937" s="3"/>
      <c r="K937" s="3"/>
      <c r="L937" s="3"/>
      <c r="M937" s="3"/>
      <c r="N937" s="3"/>
      <c r="O937" s="3"/>
      <c r="P937" s="3"/>
      <c r="Q937" s="3"/>
      <c r="R937" s="3"/>
      <c r="S937" s="3"/>
      <c r="T937" s="3"/>
      <c r="U937" s="3"/>
      <c r="V937" s="3"/>
      <c r="W937" s="3"/>
      <c r="X937" s="3"/>
      <c r="Y937" s="3"/>
      <c r="Z937" s="3"/>
      <c r="AA937" s="3"/>
      <c r="AB937" s="3"/>
      <c r="AC937" s="3"/>
      <c r="AD937" s="3"/>
      <c r="AE937" s="3"/>
      <c r="AF937" s="3"/>
    </row>
    <row r="938" spans="1:32" ht="12.75" x14ac:dyDescent="0.2">
      <c r="A938" s="29"/>
      <c r="B938" s="26"/>
      <c r="C938" s="26"/>
      <c r="D938" s="26"/>
      <c r="E938" s="26"/>
      <c r="F938" s="1"/>
      <c r="G938" s="1"/>
      <c r="H938" s="1"/>
      <c r="I938" s="3"/>
      <c r="J938" s="3"/>
      <c r="K938" s="3"/>
      <c r="L938" s="3"/>
      <c r="M938" s="3"/>
      <c r="N938" s="3"/>
      <c r="O938" s="3"/>
      <c r="P938" s="3"/>
      <c r="Q938" s="3"/>
      <c r="R938" s="3"/>
      <c r="S938" s="3"/>
      <c r="T938" s="3"/>
      <c r="U938" s="3"/>
      <c r="V938" s="3"/>
      <c r="W938" s="3"/>
      <c r="X938" s="3"/>
      <c r="Y938" s="3"/>
      <c r="Z938" s="3"/>
      <c r="AA938" s="3"/>
      <c r="AB938" s="3"/>
      <c r="AC938" s="3"/>
      <c r="AD938" s="3"/>
      <c r="AE938" s="3"/>
      <c r="AF938" s="3"/>
    </row>
    <row r="939" spans="1:32" ht="12.75" x14ac:dyDescent="0.2">
      <c r="A939" s="29"/>
      <c r="B939" s="26"/>
      <c r="C939" s="26"/>
      <c r="D939" s="26"/>
      <c r="E939" s="26"/>
      <c r="F939" s="1"/>
      <c r="G939" s="1"/>
      <c r="H939" s="1"/>
      <c r="I939" s="3"/>
      <c r="J939" s="3"/>
      <c r="K939" s="3"/>
      <c r="L939" s="3"/>
      <c r="M939" s="3"/>
      <c r="N939" s="3"/>
      <c r="O939" s="3"/>
      <c r="P939" s="3"/>
      <c r="Q939" s="3"/>
      <c r="R939" s="3"/>
      <c r="S939" s="3"/>
      <c r="T939" s="3"/>
      <c r="U939" s="3"/>
      <c r="V939" s="3"/>
      <c r="W939" s="3"/>
      <c r="X939" s="3"/>
      <c r="Y939" s="3"/>
      <c r="Z939" s="3"/>
      <c r="AA939" s="3"/>
      <c r="AB939" s="3"/>
      <c r="AC939" s="3"/>
      <c r="AD939" s="3"/>
      <c r="AE939" s="3"/>
      <c r="AF939" s="3"/>
    </row>
    <row r="940" spans="1:32" ht="12.75" x14ac:dyDescent="0.2">
      <c r="A940" s="29"/>
      <c r="B940" s="26"/>
      <c r="C940" s="26"/>
      <c r="D940" s="26"/>
      <c r="E940" s="26"/>
      <c r="F940" s="1"/>
      <c r="G940" s="1"/>
      <c r="H940" s="1"/>
      <c r="I940" s="3"/>
      <c r="J940" s="3"/>
      <c r="K940" s="3"/>
      <c r="L940" s="3"/>
      <c r="M940" s="3"/>
      <c r="N940" s="3"/>
      <c r="O940" s="3"/>
      <c r="P940" s="3"/>
      <c r="Q940" s="3"/>
      <c r="R940" s="3"/>
      <c r="S940" s="3"/>
      <c r="T940" s="3"/>
      <c r="U940" s="3"/>
      <c r="V940" s="3"/>
      <c r="W940" s="3"/>
      <c r="X940" s="3"/>
      <c r="Y940" s="3"/>
      <c r="Z940" s="3"/>
      <c r="AA940" s="3"/>
      <c r="AB940" s="3"/>
      <c r="AC940" s="3"/>
      <c r="AD940" s="3"/>
      <c r="AE940" s="3"/>
      <c r="AF940" s="3"/>
    </row>
    <row r="941" spans="1:32" ht="12.75" x14ac:dyDescent="0.2">
      <c r="A941" s="29"/>
      <c r="B941" s="26"/>
      <c r="C941" s="26"/>
      <c r="D941" s="26"/>
      <c r="E941" s="26"/>
      <c r="F941" s="1"/>
      <c r="G941" s="1"/>
      <c r="H941" s="1"/>
      <c r="I941" s="3"/>
      <c r="J941" s="3"/>
      <c r="K941" s="3"/>
      <c r="L941" s="3"/>
      <c r="M941" s="3"/>
      <c r="N941" s="3"/>
      <c r="O941" s="3"/>
      <c r="P941" s="3"/>
      <c r="Q941" s="3"/>
      <c r="R941" s="3"/>
      <c r="S941" s="3"/>
      <c r="T941" s="3"/>
      <c r="U941" s="3"/>
      <c r="V941" s="3"/>
      <c r="W941" s="3"/>
      <c r="X941" s="3"/>
      <c r="Y941" s="3"/>
      <c r="Z941" s="3"/>
      <c r="AA941" s="3"/>
      <c r="AB941" s="3"/>
      <c r="AC941" s="3"/>
      <c r="AD941" s="3"/>
      <c r="AE941" s="3"/>
      <c r="AF941" s="3"/>
    </row>
    <row r="942" spans="1:32" ht="12.75" x14ac:dyDescent="0.2">
      <c r="A942" s="29"/>
      <c r="B942" s="26"/>
      <c r="C942" s="26"/>
      <c r="D942" s="26"/>
      <c r="E942" s="26"/>
      <c r="F942" s="1"/>
      <c r="G942" s="1"/>
      <c r="H942" s="1"/>
      <c r="I942" s="3"/>
      <c r="J942" s="3"/>
      <c r="K942" s="3"/>
      <c r="L942" s="3"/>
      <c r="M942" s="3"/>
      <c r="N942" s="3"/>
      <c r="O942" s="3"/>
      <c r="P942" s="3"/>
      <c r="Q942" s="3"/>
      <c r="R942" s="3"/>
      <c r="S942" s="3"/>
      <c r="T942" s="3"/>
      <c r="U942" s="3"/>
      <c r="V942" s="3"/>
      <c r="W942" s="3"/>
      <c r="X942" s="3"/>
      <c r="Y942" s="3"/>
      <c r="Z942" s="3"/>
      <c r="AA942" s="3"/>
      <c r="AB942" s="3"/>
      <c r="AC942" s="3"/>
      <c r="AD942" s="3"/>
      <c r="AE942" s="3"/>
      <c r="AF942" s="3"/>
    </row>
    <row r="943" spans="1:32" ht="12.75" x14ac:dyDescent="0.2">
      <c r="A943" s="29"/>
      <c r="B943" s="26"/>
      <c r="C943" s="26"/>
      <c r="D943" s="26"/>
      <c r="E943" s="26"/>
      <c r="F943" s="1"/>
      <c r="G943" s="1"/>
      <c r="H943" s="1"/>
      <c r="I943" s="3"/>
      <c r="J943" s="3"/>
      <c r="K943" s="3"/>
      <c r="L943" s="3"/>
      <c r="M943" s="3"/>
      <c r="N943" s="3"/>
      <c r="O943" s="3"/>
      <c r="P943" s="3"/>
      <c r="Q943" s="3"/>
      <c r="R943" s="3"/>
      <c r="S943" s="3"/>
      <c r="T943" s="3"/>
      <c r="U943" s="3"/>
      <c r="V943" s="3"/>
      <c r="W943" s="3"/>
      <c r="X943" s="3"/>
      <c r="Y943" s="3"/>
      <c r="Z943" s="3"/>
      <c r="AA943" s="3"/>
      <c r="AB943" s="3"/>
      <c r="AC943" s="3"/>
      <c r="AD943" s="3"/>
      <c r="AE943" s="3"/>
      <c r="AF943" s="3"/>
    </row>
    <row r="944" spans="1:32" ht="12.75" x14ac:dyDescent="0.2">
      <c r="A944" s="29"/>
      <c r="B944" s="26"/>
      <c r="C944" s="26"/>
      <c r="D944" s="26"/>
      <c r="E944" s="26"/>
      <c r="F944" s="1"/>
      <c r="G944" s="1"/>
      <c r="H944" s="1"/>
      <c r="I944" s="3"/>
      <c r="J944" s="3"/>
      <c r="K944" s="3"/>
      <c r="L944" s="3"/>
      <c r="M944" s="3"/>
      <c r="N944" s="3"/>
      <c r="O944" s="3"/>
      <c r="P944" s="3"/>
      <c r="Q944" s="3"/>
      <c r="R944" s="3"/>
      <c r="S944" s="3"/>
      <c r="T944" s="3"/>
      <c r="U944" s="3"/>
      <c r="V944" s="3"/>
      <c r="W944" s="3"/>
      <c r="X944" s="3"/>
      <c r="Y944" s="3"/>
      <c r="Z944" s="3"/>
      <c r="AA944" s="3"/>
      <c r="AB944" s="3"/>
      <c r="AC944" s="3"/>
      <c r="AD944" s="3"/>
      <c r="AE944" s="3"/>
      <c r="AF944" s="3"/>
    </row>
    <row r="945" spans="1:32" ht="12.75" x14ac:dyDescent="0.2">
      <c r="A945" s="29"/>
      <c r="B945" s="26"/>
      <c r="C945" s="26"/>
      <c r="D945" s="26"/>
      <c r="E945" s="26"/>
      <c r="F945" s="1"/>
      <c r="G945" s="1"/>
      <c r="H945" s="1"/>
      <c r="I945" s="3"/>
      <c r="J945" s="3"/>
      <c r="K945" s="3"/>
      <c r="L945" s="3"/>
      <c r="M945" s="3"/>
      <c r="N945" s="3"/>
      <c r="O945" s="3"/>
      <c r="P945" s="3"/>
      <c r="Q945" s="3"/>
      <c r="R945" s="3"/>
      <c r="S945" s="3"/>
      <c r="T945" s="3"/>
      <c r="U945" s="3"/>
      <c r="V945" s="3"/>
      <c r="W945" s="3"/>
      <c r="X945" s="3"/>
      <c r="Y945" s="3"/>
      <c r="Z945" s="3"/>
      <c r="AA945" s="3"/>
      <c r="AB945" s="3"/>
      <c r="AC945" s="3"/>
      <c r="AD945" s="3"/>
      <c r="AE945" s="3"/>
      <c r="AF945" s="3"/>
    </row>
    <row r="946" spans="1:32" ht="12.75" x14ac:dyDescent="0.2">
      <c r="A946" s="29"/>
      <c r="B946" s="26"/>
      <c r="C946" s="26"/>
      <c r="D946" s="26"/>
      <c r="E946" s="26"/>
      <c r="F946" s="1"/>
      <c r="G946" s="1"/>
      <c r="H946" s="1"/>
      <c r="I946" s="3"/>
      <c r="J946" s="3"/>
      <c r="K946" s="3"/>
      <c r="L946" s="3"/>
      <c r="M946" s="3"/>
      <c r="N946" s="3"/>
      <c r="O946" s="3"/>
      <c r="P946" s="3"/>
      <c r="Q946" s="3"/>
      <c r="R946" s="3"/>
      <c r="S946" s="3"/>
      <c r="T946" s="3"/>
      <c r="U946" s="3"/>
      <c r="V946" s="3"/>
      <c r="W946" s="3"/>
      <c r="X946" s="3"/>
      <c r="Y946" s="3"/>
      <c r="Z946" s="3"/>
      <c r="AA946" s="3"/>
      <c r="AB946" s="3"/>
      <c r="AC946" s="3"/>
      <c r="AD946" s="3"/>
      <c r="AE946" s="3"/>
      <c r="AF946" s="3"/>
    </row>
    <row r="947" spans="1:32" ht="12.75" x14ac:dyDescent="0.2">
      <c r="A947" s="29"/>
      <c r="B947" s="26"/>
      <c r="C947" s="26"/>
      <c r="D947" s="26"/>
      <c r="E947" s="26"/>
      <c r="F947" s="1"/>
      <c r="G947" s="1"/>
      <c r="H947" s="1"/>
      <c r="I947" s="3"/>
      <c r="J947" s="3"/>
      <c r="K947" s="3"/>
      <c r="L947" s="3"/>
      <c r="M947" s="3"/>
      <c r="N947" s="3"/>
      <c r="O947" s="3"/>
      <c r="P947" s="3"/>
      <c r="Q947" s="3"/>
      <c r="R947" s="3"/>
      <c r="S947" s="3"/>
      <c r="T947" s="3"/>
      <c r="U947" s="3"/>
      <c r="V947" s="3"/>
      <c r="W947" s="3"/>
      <c r="X947" s="3"/>
      <c r="Y947" s="3"/>
      <c r="Z947" s="3"/>
      <c r="AA947" s="3"/>
      <c r="AB947" s="3"/>
      <c r="AC947" s="3"/>
      <c r="AD947" s="3"/>
      <c r="AE947" s="3"/>
      <c r="AF947" s="3"/>
    </row>
    <row r="948" spans="1:32" ht="12.75" x14ac:dyDescent="0.2">
      <c r="A948" s="29"/>
      <c r="B948" s="26"/>
      <c r="C948" s="26"/>
      <c r="D948" s="26"/>
      <c r="E948" s="26"/>
      <c r="F948" s="1"/>
      <c r="G948" s="1"/>
      <c r="H948" s="1"/>
      <c r="I948" s="3"/>
      <c r="J948" s="3"/>
      <c r="K948" s="3"/>
      <c r="L948" s="3"/>
      <c r="M948" s="3"/>
      <c r="N948" s="3"/>
      <c r="O948" s="3"/>
      <c r="P948" s="3"/>
      <c r="Q948" s="3"/>
      <c r="R948" s="3"/>
      <c r="S948" s="3"/>
      <c r="T948" s="3"/>
      <c r="U948" s="3"/>
      <c r="V948" s="3"/>
      <c r="W948" s="3"/>
      <c r="X948" s="3"/>
      <c r="Y948" s="3"/>
      <c r="Z948" s="3"/>
      <c r="AA948" s="3"/>
      <c r="AB948" s="3"/>
      <c r="AC948" s="3"/>
      <c r="AD948" s="3"/>
      <c r="AE948" s="3"/>
      <c r="AF948" s="3"/>
    </row>
    <row r="949" spans="1:32" ht="12.75" x14ac:dyDescent="0.2">
      <c r="A949" s="29"/>
      <c r="B949" s="26"/>
      <c r="C949" s="26"/>
      <c r="D949" s="26"/>
      <c r="E949" s="26"/>
      <c r="F949" s="1"/>
      <c r="G949" s="1"/>
      <c r="H949" s="1"/>
      <c r="I949" s="3"/>
      <c r="J949" s="3"/>
      <c r="K949" s="3"/>
      <c r="L949" s="3"/>
      <c r="M949" s="3"/>
      <c r="N949" s="3"/>
      <c r="O949" s="3"/>
      <c r="P949" s="3"/>
      <c r="Q949" s="3"/>
      <c r="R949" s="3"/>
      <c r="S949" s="3"/>
      <c r="T949" s="3"/>
      <c r="U949" s="3"/>
      <c r="V949" s="3"/>
      <c r="W949" s="3"/>
      <c r="X949" s="3"/>
      <c r="Y949" s="3"/>
      <c r="Z949" s="3"/>
      <c r="AA949" s="3"/>
      <c r="AB949" s="3"/>
      <c r="AC949" s="3"/>
      <c r="AD949" s="3"/>
      <c r="AE949" s="3"/>
      <c r="AF949" s="3"/>
    </row>
    <row r="950" spans="1:32" ht="12.75" x14ac:dyDescent="0.2">
      <c r="A950" s="29"/>
      <c r="B950" s="26"/>
      <c r="C950" s="26"/>
      <c r="D950" s="26"/>
      <c r="E950" s="26"/>
      <c r="F950" s="1"/>
      <c r="G950" s="1"/>
      <c r="H950" s="1"/>
      <c r="I950" s="3"/>
      <c r="J950" s="3"/>
      <c r="K950" s="3"/>
      <c r="L950" s="3"/>
      <c r="M950" s="3"/>
      <c r="N950" s="3"/>
      <c r="O950" s="3"/>
      <c r="P950" s="3"/>
      <c r="Q950" s="3"/>
      <c r="R950" s="3"/>
      <c r="S950" s="3"/>
      <c r="T950" s="3"/>
      <c r="U950" s="3"/>
      <c r="V950" s="3"/>
      <c r="W950" s="3"/>
      <c r="X950" s="3"/>
      <c r="Y950" s="3"/>
      <c r="Z950" s="3"/>
      <c r="AA950" s="3"/>
      <c r="AB950" s="3"/>
      <c r="AC950" s="3"/>
      <c r="AD950" s="3"/>
      <c r="AE950" s="3"/>
      <c r="AF950" s="3"/>
    </row>
    <row r="951" spans="1:32" ht="12.75" x14ac:dyDescent="0.2">
      <c r="A951" s="29"/>
      <c r="B951" s="26"/>
      <c r="C951" s="26"/>
      <c r="D951" s="26"/>
      <c r="E951" s="26"/>
      <c r="F951" s="1"/>
      <c r="G951" s="1"/>
      <c r="H951" s="1"/>
      <c r="I951" s="3"/>
      <c r="J951" s="3"/>
      <c r="K951" s="3"/>
      <c r="L951" s="3"/>
      <c r="M951" s="3"/>
      <c r="N951" s="3"/>
      <c r="O951" s="3"/>
      <c r="P951" s="3"/>
      <c r="Q951" s="3"/>
      <c r="R951" s="3"/>
      <c r="S951" s="3"/>
      <c r="T951" s="3"/>
      <c r="U951" s="3"/>
      <c r="V951" s="3"/>
      <c r="W951" s="3"/>
      <c r="X951" s="3"/>
      <c r="Y951" s="3"/>
      <c r="Z951" s="3"/>
      <c r="AA951" s="3"/>
      <c r="AB951" s="3"/>
      <c r="AC951" s="3"/>
      <c r="AD951" s="3"/>
      <c r="AE951" s="3"/>
      <c r="AF951" s="3"/>
    </row>
    <row r="952" spans="1:32" ht="12.75" x14ac:dyDescent="0.2">
      <c r="A952" s="29"/>
      <c r="B952" s="26"/>
      <c r="C952" s="26"/>
      <c r="D952" s="26"/>
      <c r="E952" s="26"/>
      <c r="F952" s="1"/>
      <c r="G952" s="1"/>
      <c r="H952" s="1"/>
      <c r="I952" s="3"/>
      <c r="J952" s="3"/>
      <c r="K952" s="3"/>
      <c r="L952" s="3"/>
      <c r="M952" s="3"/>
      <c r="N952" s="3"/>
      <c r="O952" s="3"/>
      <c r="P952" s="3"/>
      <c r="Q952" s="3"/>
      <c r="R952" s="3"/>
      <c r="S952" s="3"/>
      <c r="T952" s="3"/>
      <c r="U952" s="3"/>
      <c r="V952" s="3"/>
      <c r="W952" s="3"/>
      <c r="X952" s="3"/>
      <c r="Y952" s="3"/>
      <c r="Z952" s="3"/>
      <c r="AA952" s="3"/>
      <c r="AB952" s="3"/>
      <c r="AC952" s="3"/>
      <c r="AD952" s="3"/>
      <c r="AE952" s="3"/>
      <c r="AF952" s="3"/>
    </row>
    <row r="953" spans="1:32" ht="12.75" x14ac:dyDescent="0.2">
      <c r="A953" s="29"/>
      <c r="B953" s="26"/>
      <c r="C953" s="26"/>
      <c r="D953" s="26"/>
      <c r="E953" s="26"/>
      <c r="F953" s="1"/>
      <c r="G953" s="1"/>
      <c r="H953" s="1"/>
      <c r="I953" s="3"/>
      <c r="J953" s="3"/>
      <c r="K953" s="3"/>
      <c r="L953" s="3"/>
      <c r="M953" s="3"/>
      <c r="N953" s="3"/>
      <c r="O953" s="3"/>
      <c r="P953" s="3"/>
      <c r="Q953" s="3"/>
      <c r="R953" s="3"/>
      <c r="S953" s="3"/>
      <c r="T953" s="3"/>
      <c r="U953" s="3"/>
      <c r="V953" s="3"/>
      <c r="W953" s="3"/>
      <c r="X953" s="3"/>
      <c r="Y953" s="3"/>
      <c r="Z953" s="3"/>
      <c r="AA953" s="3"/>
      <c r="AB953" s="3"/>
      <c r="AC953" s="3"/>
      <c r="AD953" s="3"/>
      <c r="AE953" s="3"/>
      <c r="AF953" s="3"/>
    </row>
    <row r="954" spans="1:32" ht="12.75" x14ac:dyDescent="0.2">
      <c r="A954" s="29"/>
      <c r="B954" s="26"/>
      <c r="C954" s="26"/>
      <c r="D954" s="26"/>
      <c r="E954" s="26"/>
      <c r="F954" s="1"/>
      <c r="G954" s="1"/>
      <c r="H954" s="1"/>
      <c r="I954" s="3"/>
      <c r="J954" s="3"/>
      <c r="K954" s="3"/>
      <c r="L954" s="3"/>
      <c r="M954" s="3"/>
      <c r="N954" s="3"/>
      <c r="O954" s="3"/>
      <c r="P954" s="3"/>
      <c r="Q954" s="3"/>
      <c r="R954" s="3"/>
      <c r="S954" s="3"/>
      <c r="T954" s="3"/>
      <c r="U954" s="3"/>
      <c r="V954" s="3"/>
      <c r="W954" s="3"/>
      <c r="X954" s="3"/>
      <c r="Y954" s="3"/>
      <c r="Z954" s="3"/>
      <c r="AA954" s="3"/>
      <c r="AB954" s="3"/>
      <c r="AC954" s="3"/>
      <c r="AD954" s="3"/>
      <c r="AE954" s="3"/>
      <c r="AF954" s="3"/>
    </row>
    <row r="955" spans="1:32" ht="12.75" x14ac:dyDescent="0.2">
      <c r="A955" s="29"/>
      <c r="B955" s="26"/>
      <c r="C955" s="26"/>
      <c r="D955" s="26"/>
      <c r="E955" s="26"/>
      <c r="F955" s="1"/>
      <c r="G955" s="1"/>
      <c r="H955" s="1"/>
      <c r="I955" s="3"/>
      <c r="J955" s="3"/>
      <c r="K955" s="3"/>
      <c r="L955" s="3"/>
      <c r="M955" s="3"/>
      <c r="N955" s="3"/>
      <c r="O955" s="3"/>
      <c r="P955" s="3"/>
      <c r="Q955" s="3"/>
      <c r="R955" s="3"/>
      <c r="S955" s="3"/>
      <c r="T955" s="3"/>
      <c r="U955" s="3"/>
      <c r="V955" s="3"/>
      <c r="W955" s="3"/>
      <c r="X955" s="3"/>
      <c r="Y955" s="3"/>
      <c r="Z955" s="3"/>
      <c r="AA955" s="3"/>
      <c r="AB955" s="3"/>
      <c r="AC955" s="3"/>
      <c r="AD955" s="3"/>
      <c r="AE955" s="3"/>
      <c r="AF955" s="3"/>
    </row>
    <row r="956" spans="1:32" ht="12.75" x14ac:dyDescent="0.2">
      <c r="A956" s="29"/>
      <c r="B956" s="26"/>
      <c r="C956" s="26"/>
      <c r="D956" s="26"/>
      <c r="E956" s="26"/>
      <c r="F956" s="1"/>
      <c r="G956" s="1"/>
      <c r="H956" s="1"/>
      <c r="I956" s="3"/>
      <c r="J956" s="3"/>
      <c r="K956" s="3"/>
      <c r="L956" s="3"/>
      <c r="M956" s="3"/>
      <c r="N956" s="3"/>
      <c r="O956" s="3"/>
      <c r="P956" s="3"/>
      <c r="Q956" s="3"/>
      <c r="R956" s="3"/>
      <c r="S956" s="3"/>
      <c r="T956" s="3"/>
      <c r="U956" s="3"/>
      <c r="V956" s="3"/>
      <c r="W956" s="3"/>
      <c r="X956" s="3"/>
      <c r="Y956" s="3"/>
      <c r="Z956" s="3"/>
      <c r="AA956" s="3"/>
      <c r="AB956" s="3"/>
      <c r="AC956" s="3"/>
      <c r="AD956" s="3"/>
      <c r="AE956" s="3"/>
      <c r="AF956" s="3"/>
    </row>
    <row r="957" spans="1:32" ht="12.75" x14ac:dyDescent="0.2">
      <c r="A957" s="29"/>
      <c r="B957" s="26"/>
      <c r="C957" s="26"/>
      <c r="D957" s="26"/>
      <c r="E957" s="26"/>
      <c r="F957" s="1"/>
      <c r="G957" s="1"/>
      <c r="H957" s="1"/>
      <c r="I957" s="3"/>
      <c r="J957" s="3"/>
      <c r="K957" s="3"/>
      <c r="L957" s="3"/>
      <c r="M957" s="3"/>
      <c r="N957" s="3"/>
      <c r="O957" s="3"/>
      <c r="P957" s="3"/>
      <c r="Q957" s="3"/>
      <c r="R957" s="3"/>
      <c r="S957" s="3"/>
      <c r="T957" s="3"/>
      <c r="U957" s="3"/>
      <c r="V957" s="3"/>
      <c r="W957" s="3"/>
      <c r="X957" s="3"/>
      <c r="Y957" s="3"/>
      <c r="Z957" s="3"/>
      <c r="AA957" s="3"/>
      <c r="AB957" s="3"/>
      <c r="AC957" s="3"/>
      <c r="AD957" s="3"/>
      <c r="AE957" s="3"/>
      <c r="AF957" s="3"/>
    </row>
    <row r="958" spans="1:32" ht="12.75" x14ac:dyDescent="0.2">
      <c r="A958" s="29"/>
      <c r="B958" s="26"/>
      <c r="C958" s="26"/>
      <c r="D958" s="26"/>
      <c r="E958" s="26"/>
      <c r="F958" s="1"/>
      <c r="G958" s="1"/>
      <c r="H958" s="1"/>
      <c r="I958" s="3"/>
      <c r="J958" s="3"/>
      <c r="K958" s="3"/>
      <c r="L958" s="3"/>
      <c r="M958" s="3"/>
      <c r="N958" s="3"/>
      <c r="O958" s="3"/>
      <c r="P958" s="3"/>
      <c r="Q958" s="3"/>
      <c r="R958" s="3"/>
      <c r="S958" s="3"/>
      <c r="T958" s="3"/>
      <c r="U958" s="3"/>
      <c r="V958" s="3"/>
      <c r="W958" s="3"/>
      <c r="X958" s="3"/>
      <c r="Y958" s="3"/>
      <c r="Z958" s="3"/>
      <c r="AA958" s="3"/>
      <c r="AB958" s="3"/>
      <c r="AC958" s="3"/>
      <c r="AD958" s="3"/>
      <c r="AE958" s="3"/>
      <c r="AF958" s="3"/>
    </row>
    <row r="959" spans="1:32" ht="12.75" x14ac:dyDescent="0.2">
      <c r="A959" s="29"/>
      <c r="B959" s="26"/>
      <c r="C959" s="26"/>
      <c r="D959" s="26"/>
      <c r="E959" s="26"/>
      <c r="F959" s="1"/>
      <c r="G959" s="1"/>
      <c r="H959" s="1"/>
      <c r="I959" s="3"/>
      <c r="J959" s="3"/>
      <c r="K959" s="3"/>
      <c r="L959" s="3"/>
      <c r="M959" s="3"/>
      <c r="N959" s="3"/>
      <c r="O959" s="3"/>
      <c r="P959" s="3"/>
      <c r="Q959" s="3"/>
      <c r="R959" s="3"/>
      <c r="S959" s="3"/>
      <c r="T959" s="3"/>
      <c r="U959" s="3"/>
      <c r="V959" s="3"/>
      <c r="W959" s="3"/>
      <c r="X959" s="3"/>
      <c r="Y959" s="3"/>
      <c r="Z959" s="3"/>
      <c r="AA959" s="3"/>
      <c r="AB959" s="3"/>
      <c r="AC959" s="3"/>
      <c r="AD959" s="3"/>
      <c r="AE959" s="3"/>
      <c r="AF959" s="3"/>
    </row>
    <row r="960" spans="1:32" ht="12.75" x14ac:dyDescent="0.2">
      <c r="A960" s="29"/>
      <c r="B960" s="26"/>
      <c r="C960" s="26"/>
      <c r="D960" s="26"/>
      <c r="E960" s="26"/>
      <c r="F960" s="1"/>
      <c r="G960" s="1"/>
      <c r="H960" s="1"/>
      <c r="I960" s="3"/>
      <c r="J960" s="3"/>
      <c r="K960" s="3"/>
      <c r="L960" s="3"/>
      <c r="M960" s="3"/>
      <c r="N960" s="3"/>
      <c r="O960" s="3"/>
      <c r="P960" s="3"/>
      <c r="Q960" s="3"/>
      <c r="R960" s="3"/>
      <c r="S960" s="3"/>
      <c r="T960" s="3"/>
      <c r="U960" s="3"/>
      <c r="V960" s="3"/>
      <c r="W960" s="3"/>
      <c r="X960" s="3"/>
      <c r="Y960" s="3"/>
      <c r="Z960" s="3"/>
      <c r="AA960" s="3"/>
      <c r="AB960" s="3"/>
      <c r="AC960" s="3"/>
      <c r="AD960" s="3"/>
      <c r="AE960" s="3"/>
      <c r="AF960" s="3"/>
    </row>
    <row r="961" spans="1:32" ht="12.75" x14ac:dyDescent="0.2">
      <c r="A961" s="29"/>
      <c r="B961" s="26"/>
      <c r="C961" s="26"/>
      <c r="D961" s="26"/>
      <c r="E961" s="26"/>
      <c r="F961" s="1"/>
      <c r="G961" s="1"/>
      <c r="H961" s="1"/>
      <c r="I961" s="3"/>
      <c r="J961" s="3"/>
      <c r="K961" s="3"/>
      <c r="L961" s="3"/>
      <c r="M961" s="3"/>
      <c r="N961" s="3"/>
      <c r="O961" s="3"/>
      <c r="P961" s="3"/>
      <c r="Q961" s="3"/>
      <c r="R961" s="3"/>
      <c r="S961" s="3"/>
      <c r="T961" s="3"/>
      <c r="U961" s="3"/>
      <c r="V961" s="3"/>
      <c r="W961" s="3"/>
      <c r="X961" s="3"/>
      <c r="Y961" s="3"/>
      <c r="Z961" s="3"/>
      <c r="AA961" s="3"/>
      <c r="AB961" s="3"/>
      <c r="AC961" s="3"/>
      <c r="AD961" s="3"/>
      <c r="AE961" s="3"/>
      <c r="AF961" s="3"/>
    </row>
    <row r="962" spans="1:32" ht="12.75" x14ac:dyDescent="0.2">
      <c r="A962" s="29"/>
      <c r="B962" s="26"/>
      <c r="C962" s="26"/>
      <c r="D962" s="26"/>
      <c r="E962" s="26"/>
      <c r="F962" s="1"/>
      <c r="G962" s="1"/>
      <c r="H962" s="1"/>
      <c r="I962" s="3"/>
      <c r="J962" s="3"/>
      <c r="K962" s="3"/>
      <c r="L962" s="3"/>
      <c r="M962" s="3"/>
      <c r="N962" s="3"/>
      <c r="O962" s="3"/>
      <c r="P962" s="3"/>
      <c r="Q962" s="3"/>
      <c r="R962" s="3"/>
      <c r="S962" s="3"/>
      <c r="T962" s="3"/>
      <c r="U962" s="3"/>
      <c r="V962" s="3"/>
      <c r="W962" s="3"/>
      <c r="X962" s="3"/>
      <c r="Y962" s="3"/>
      <c r="Z962" s="3"/>
      <c r="AA962" s="3"/>
      <c r="AB962" s="3"/>
      <c r="AC962" s="3"/>
      <c r="AD962" s="3"/>
      <c r="AE962" s="3"/>
      <c r="AF962" s="3"/>
    </row>
    <row r="963" spans="1:32" ht="12.75" x14ac:dyDescent="0.2">
      <c r="A963" s="29"/>
      <c r="B963" s="26"/>
      <c r="C963" s="26"/>
      <c r="D963" s="26"/>
      <c r="E963" s="26"/>
      <c r="F963" s="1"/>
      <c r="G963" s="1"/>
      <c r="H963" s="1"/>
      <c r="I963" s="3"/>
      <c r="J963" s="3"/>
      <c r="K963" s="3"/>
      <c r="L963" s="3"/>
      <c r="M963" s="3"/>
      <c r="N963" s="3"/>
      <c r="O963" s="3"/>
      <c r="P963" s="3"/>
      <c r="Q963" s="3"/>
      <c r="R963" s="3"/>
      <c r="S963" s="3"/>
      <c r="T963" s="3"/>
      <c r="U963" s="3"/>
      <c r="V963" s="3"/>
      <c r="W963" s="3"/>
      <c r="X963" s="3"/>
      <c r="Y963" s="3"/>
      <c r="Z963" s="3"/>
      <c r="AA963" s="3"/>
      <c r="AB963" s="3"/>
      <c r="AC963" s="3"/>
      <c r="AD963" s="3"/>
      <c r="AE963" s="3"/>
      <c r="AF963" s="3"/>
    </row>
    <row r="964" spans="1:32" ht="12.75" x14ac:dyDescent="0.2">
      <c r="A964" s="29"/>
      <c r="B964" s="26"/>
      <c r="C964" s="26"/>
      <c r="D964" s="26"/>
      <c r="E964" s="26"/>
      <c r="F964" s="1"/>
      <c r="G964" s="1"/>
      <c r="H964" s="1"/>
      <c r="I964" s="3"/>
      <c r="J964" s="3"/>
      <c r="K964" s="3"/>
      <c r="L964" s="3"/>
      <c r="M964" s="3"/>
      <c r="N964" s="3"/>
      <c r="O964" s="3"/>
      <c r="P964" s="3"/>
      <c r="Q964" s="3"/>
      <c r="R964" s="3"/>
      <c r="S964" s="3"/>
      <c r="T964" s="3"/>
      <c r="U964" s="3"/>
      <c r="V964" s="3"/>
      <c r="W964" s="3"/>
      <c r="X964" s="3"/>
      <c r="Y964" s="3"/>
      <c r="Z964" s="3"/>
      <c r="AA964" s="3"/>
      <c r="AB964" s="3"/>
      <c r="AC964" s="3"/>
      <c r="AD964" s="3"/>
      <c r="AE964" s="3"/>
      <c r="AF964" s="3"/>
    </row>
    <row r="965" spans="1:32" ht="12.75" x14ac:dyDescent="0.2">
      <c r="A965" s="29"/>
      <c r="B965" s="26"/>
      <c r="C965" s="26"/>
      <c r="D965" s="26"/>
      <c r="E965" s="26"/>
      <c r="F965" s="1"/>
      <c r="G965" s="1"/>
      <c r="H965" s="1"/>
      <c r="I965" s="3"/>
      <c r="J965" s="3"/>
      <c r="K965" s="3"/>
      <c r="L965" s="3"/>
      <c r="M965" s="3"/>
      <c r="N965" s="3"/>
      <c r="O965" s="3"/>
      <c r="P965" s="3"/>
      <c r="Q965" s="3"/>
      <c r="R965" s="3"/>
      <c r="S965" s="3"/>
      <c r="T965" s="3"/>
      <c r="U965" s="3"/>
      <c r="V965" s="3"/>
      <c r="W965" s="3"/>
      <c r="X965" s="3"/>
      <c r="Y965" s="3"/>
      <c r="Z965" s="3"/>
      <c r="AA965" s="3"/>
      <c r="AB965" s="3"/>
      <c r="AC965" s="3"/>
      <c r="AD965" s="3"/>
      <c r="AE965" s="3"/>
      <c r="AF965" s="3"/>
    </row>
    <row r="966" spans="1:32" ht="12.75" x14ac:dyDescent="0.2">
      <c r="A966" s="29"/>
      <c r="B966" s="26"/>
      <c r="C966" s="26"/>
      <c r="D966" s="26"/>
      <c r="E966" s="26"/>
      <c r="F966" s="1"/>
      <c r="G966" s="1"/>
      <c r="H966" s="1"/>
      <c r="I966" s="3"/>
      <c r="J966" s="3"/>
      <c r="K966" s="3"/>
      <c r="L966" s="3"/>
      <c r="M966" s="3"/>
      <c r="N966" s="3"/>
      <c r="O966" s="3"/>
      <c r="P966" s="3"/>
      <c r="Q966" s="3"/>
      <c r="R966" s="3"/>
      <c r="S966" s="3"/>
      <c r="T966" s="3"/>
      <c r="U966" s="3"/>
      <c r="V966" s="3"/>
      <c r="W966" s="3"/>
      <c r="X966" s="3"/>
      <c r="Y966" s="3"/>
      <c r="Z966" s="3"/>
      <c r="AA966" s="3"/>
      <c r="AB966" s="3"/>
      <c r="AC966" s="3"/>
      <c r="AD966" s="3"/>
      <c r="AE966" s="3"/>
      <c r="AF966" s="3"/>
    </row>
    <row r="967" spans="1:32" ht="12.75" x14ac:dyDescent="0.2">
      <c r="A967" s="29"/>
      <c r="B967" s="26"/>
      <c r="C967" s="26"/>
      <c r="D967" s="26"/>
      <c r="E967" s="26"/>
      <c r="F967" s="1"/>
      <c r="G967" s="1"/>
      <c r="H967" s="1"/>
      <c r="I967" s="3"/>
      <c r="J967" s="3"/>
      <c r="K967" s="3"/>
      <c r="L967" s="3"/>
      <c r="M967" s="3"/>
      <c r="N967" s="3"/>
      <c r="O967" s="3"/>
      <c r="P967" s="3"/>
      <c r="Q967" s="3"/>
      <c r="R967" s="3"/>
      <c r="S967" s="3"/>
      <c r="T967" s="3"/>
      <c r="U967" s="3"/>
      <c r="V967" s="3"/>
      <c r="W967" s="3"/>
      <c r="X967" s="3"/>
      <c r="Y967" s="3"/>
      <c r="Z967" s="3"/>
      <c r="AA967" s="3"/>
      <c r="AB967" s="3"/>
      <c r="AC967" s="3"/>
      <c r="AD967" s="3"/>
      <c r="AE967" s="3"/>
      <c r="AF967" s="3"/>
    </row>
    <row r="968" spans="1:32" ht="12.75" x14ac:dyDescent="0.2">
      <c r="A968" s="29"/>
      <c r="B968" s="26"/>
      <c r="C968" s="26"/>
      <c r="D968" s="26"/>
      <c r="E968" s="26"/>
      <c r="F968" s="1"/>
      <c r="G968" s="1"/>
      <c r="H968" s="1"/>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12.75" x14ac:dyDescent="0.2">
      <c r="A969" s="29"/>
      <c r="B969" s="26"/>
      <c r="C969" s="26"/>
      <c r="D969" s="26"/>
      <c r="E969" s="26"/>
      <c r="F969" s="1"/>
      <c r="G969" s="1"/>
      <c r="H969" s="1"/>
      <c r="I969" s="3"/>
      <c r="J969" s="3"/>
      <c r="K969" s="3"/>
      <c r="L969" s="3"/>
      <c r="M969" s="3"/>
      <c r="N969" s="3"/>
      <c r="O969" s="3"/>
      <c r="P969" s="3"/>
      <c r="Q969" s="3"/>
      <c r="R969" s="3"/>
      <c r="S969" s="3"/>
      <c r="T969" s="3"/>
      <c r="U969" s="3"/>
      <c r="V969" s="3"/>
      <c r="W969" s="3"/>
      <c r="X969" s="3"/>
      <c r="Y969" s="3"/>
      <c r="Z969" s="3"/>
      <c r="AA969" s="3"/>
      <c r="AB969" s="3"/>
      <c r="AC969" s="3"/>
      <c r="AD969" s="3"/>
      <c r="AE969" s="3"/>
      <c r="AF969" s="3"/>
    </row>
    <row r="970" spans="1:32" ht="12.75" x14ac:dyDescent="0.2">
      <c r="A970" s="29"/>
      <c r="B970" s="26"/>
      <c r="C970" s="26"/>
      <c r="D970" s="26"/>
      <c r="E970" s="26"/>
      <c r="F970" s="1"/>
      <c r="G970" s="1"/>
      <c r="H970" s="1"/>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12.75" x14ac:dyDescent="0.2">
      <c r="A971" s="29"/>
      <c r="B971" s="26"/>
      <c r="C971" s="26"/>
      <c r="D971" s="26"/>
      <c r="E971" s="26"/>
      <c r="F971" s="1"/>
      <c r="G971" s="1"/>
      <c r="H971" s="1"/>
      <c r="I971" s="3"/>
      <c r="J971" s="3"/>
      <c r="K971" s="3"/>
      <c r="L971" s="3"/>
      <c r="M971" s="3"/>
      <c r="N971" s="3"/>
      <c r="O971" s="3"/>
      <c r="P971" s="3"/>
      <c r="Q971" s="3"/>
      <c r="R971" s="3"/>
      <c r="S971" s="3"/>
      <c r="T971" s="3"/>
      <c r="U971" s="3"/>
      <c r="V971" s="3"/>
      <c r="W971" s="3"/>
      <c r="X971" s="3"/>
      <c r="Y971" s="3"/>
      <c r="Z971" s="3"/>
      <c r="AA971" s="3"/>
      <c r="AB971" s="3"/>
      <c r="AC971" s="3"/>
      <c r="AD971" s="3"/>
      <c r="AE971" s="3"/>
      <c r="AF971" s="3"/>
    </row>
    <row r="972" spans="1:32" ht="12.75" x14ac:dyDescent="0.2">
      <c r="A972" s="29"/>
      <c r="B972" s="26"/>
      <c r="C972" s="26"/>
      <c r="D972" s="26"/>
      <c r="E972" s="26"/>
      <c r="F972" s="1"/>
      <c r="G972" s="1"/>
      <c r="H972" s="1"/>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2.75" x14ac:dyDescent="0.2">
      <c r="A973" s="29"/>
      <c r="B973" s="26"/>
      <c r="C973" s="26"/>
      <c r="D973" s="26"/>
      <c r="E973" s="26"/>
      <c r="F973" s="1"/>
      <c r="G973" s="1"/>
      <c r="H973" s="1"/>
      <c r="I973" s="3"/>
      <c r="J973" s="3"/>
      <c r="K973" s="3"/>
      <c r="L973" s="3"/>
      <c r="M973" s="3"/>
      <c r="N973" s="3"/>
      <c r="O973" s="3"/>
      <c r="P973" s="3"/>
      <c r="Q973" s="3"/>
      <c r="R973" s="3"/>
      <c r="S973" s="3"/>
      <c r="T973" s="3"/>
      <c r="U973" s="3"/>
      <c r="V973" s="3"/>
      <c r="W973" s="3"/>
      <c r="X973" s="3"/>
      <c r="Y973" s="3"/>
      <c r="Z973" s="3"/>
      <c r="AA973" s="3"/>
      <c r="AB973" s="3"/>
      <c r="AC973" s="3"/>
      <c r="AD973" s="3"/>
      <c r="AE973" s="3"/>
      <c r="AF973" s="3"/>
    </row>
    <row r="974" spans="1:32" ht="12.75" x14ac:dyDescent="0.2">
      <c r="A974" s="29"/>
      <c r="B974" s="26"/>
      <c r="C974" s="26"/>
      <c r="D974" s="26"/>
      <c r="E974" s="26"/>
      <c r="F974" s="1"/>
      <c r="G974" s="1"/>
      <c r="H974" s="1"/>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2.75" x14ac:dyDescent="0.2">
      <c r="A975" s="29"/>
      <c r="B975" s="26"/>
      <c r="C975" s="26"/>
      <c r="D975" s="26"/>
      <c r="E975" s="26"/>
      <c r="F975" s="1"/>
      <c r="G975" s="1"/>
      <c r="H975" s="1"/>
      <c r="I975" s="3"/>
      <c r="J975" s="3"/>
      <c r="K975" s="3"/>
      <c r="L975" s="3"/>
      <c r="M975" s="3"/>
      <c r="N975" s="3"/>
      <c r="O975" s="3"/>
      <c r="P975" s="3"/>
      <c r="Q975" s="3"/>
      <c r="R975" s="3"/>
      <c r="S975" s="3"/>
      <c r="T975" s="3"/>
      <c r="U975" s="3"/>
      <c r="V975" s="3"/>
      <c r="W975" s="3"/>
      <c r="X975" s="3"/>
      <c r="Y975" s="3"/>
      <c r="Z975" s="3"/>
      <c r="AA975" s="3"/>
      <c r="AB975" s="3"/>
      <c r="AC975" s="3"/>
      <c r="AD975" s="3"/>
      <c r="AE975" s="3"/>
      <c r="AF975" s="3"/>
    </row>
    <row r="976" spans="1:32" ht="12.75" x14ac:dyDescent="0.2">
      <c r="A976" s="29"/>
      <c r="B976" s="26"/>
      <c r="C976" s="26"/>
      <c r="D976" s="26"/>
      <c r="E976" s="26"/>
      <c r="F976" s="1"/>
      <c r="G976" s="1"/>
      <c r="H976" s="1"/>
      <c r="I976" s="3"/>
      <c r="J976" s="3"/>
      <c r="K976" s="3"/>
      <c r="L976" s="3"/>
      <c r="M976" s="3"/>
      <c r="N976" s="3"/>
      <c r="O976" s="3"/>
      <c r="P976" s="3"/>
      <c r="Q976" s="3"/>
      <c r="R976" s="3"/>
      <c r="S976" s="3"/>
      <c r="T976" s="3"/>
      <c r="U976" s="3"/>
      <c r="V976" s="3"/>
      <c r="W976" s="3"/>
      <c r="X976" s="3"/>
      <c r="Y976" s="3"/>
      <c r="Z976" s="3"/>
      <c r="AA976" s="3"/>
      <c r="AB976" s="3"/>
      <c r="AC976" s="3"/>
      <c r="AD976" s="3"/>
      <c r="AE976" s="3"/>
      <c r="AF976" s="3"/>
    </row>
    <row r="977" spans="1:32" ht="12.75" x14ac:dyDescent="0.2">
      <c r="A977" s="29"/>
      <c r="B977" s="26"/>
      <c r="C977" s="26"/>
      <c r="D977" s="26"/>
      <c r="E977" s="26"/>
      <c r="F977" s="1"/>
      <c r="G977" s="1"/>
      <c r="H977" s="1"/>
      <c r="I977" s="3"/>
      <c r="J977" s="3"/>
      <c r="K977" s="3"/>
      <c r="L977" s="3"/>
      <c r="M977" s="3"/>
      <c r="N977" s="3"/>
      <c r="O977" s="3"/>
      <c r="P977" s="3"/>
      <c r="Q977" s="3"/>
      <c r="R977" s="3"/>
      <c r="S977" s="3"/>
      <c r="T977" s="3"/>
      <c r="U977" s="3"/>
      <c r="V977" s="3"/>
      <c r="W977" s="3"/>
      <c r="X977" s="3"/>
      <c r="Y977" s="3"/>
      <c r="Z977" s="3"/>
      <c r="AA977" s="3"/>
      <c r="AB977" s="3"/>
      <c r="AC977" s="3"/>
      <c r="AD977" s="3"/>
      <c r="AE977" s="3"/>
      <c r="AF977" s="3"/>
    </row>
    <row r="978" spans="1:32" ht="12.75" x14ac:dyDescent="0.2">
      <c r="A978" s="29"/>
      <c r="B978" s="26"/>
      <c r="C978" s="26"/>
      <c r="D978" s="26"/>
      <c r="E978" s="26"/>
      <c r="F978" s="1"/>
      <c r="G978" s="1"/>
      <c r="H978" s="1"/>
      <c r="I978" s="3"/>
      <c r="J978" s="3"/>
      <c r="K978" s="3"/>
      <c r="L978" s="3"/>
      <c r="M978" s="3"/>
      <c r="N978" s="3"/>
      <c r="O978" s="3"/>
      <c r="P978" s="3"/>
      <c r="Q978" s="3"/>
      <c r="R978" s="3"/>
      <c r="S978" s="3"/>
      <c r="T978" s="3"/>
      <c r="U978" s="3"/>
      <c r="V978" s="3"/>
      <c r="W978" s="3"/>
      <c r="X978" s="3"/>
      <c r="Y978" s="3"/>
      <c r="Z978" s="3"/>
      <c r="AA978" s="3"/>
      <c r="AB978" s="3"/>
      <c r="AC978" s="3"/>
      <c r="AD978" s="3"/>
      <c r="AE978" s="3"/>
      <c r="AF978" s="3"/>
    </row>
    <row r="979" spans="1:32" ht="12.75" x14ac:dyDescent="0.2">
      <c r="A979" s="29"/>
      <c r="B979" s="26"/>
      <c r="C979" s="26"/>
      <c r="D979" s="26"/>
      <c r="E979" s="26"/>
      <c r="F979" s="1"/>
      <c r="G979" s="1"/>
      <c r="H979" s="1"/>
      <c r="I979" s="3"/>
      <c r="J979" s="3"/>
      <c r="K979" s="3"/>
      <c r="L979" s="3"/>
      <c r="M979" s="3"/>
      <c r="N979" s="3"/>
      <c r="O979" s="3"/>
      <c r="P979" s="3"/>
      <c r="Q979" s="3"/>
      <c r="R979" s="3"/>
      <c r="S979" s="3"/>
      <c r="T979" s="3"/>
      <c r="U979" s="3"/>
      <c r="V979" s="3"/>
      <c r="W979" s="3"/>
      <c r="X979" s="3"/>
      <c r="Y979" s="3"/>
      <c r="Z979" s="3"/>
      <c r="AA979" s="3"/>
      <c r="AB979" s="3"/>
      <c r="AC979" s="3"/>
      <c r="AD979" s="3"/>
      <c r="AE979" s="3"/>
      <c r="AF979" s="3"/>
    </row>
    <row r="980" spans="1:32" ht="12.75" x14ac:dyDescent="0.2">
      <c r="A980" s="29"/>
      <c r="B980" s="26"/>
      <c r="C980" s="26"/>
      <c r="D980" s="26"/>
      <c r="E980" s="26"/>
      <c r="F980" s="1"/>
      <c r="G980" s="1"/>
      <c r="H980" s="1"/>
      <c r="I980" s="3"/>
      <c r="J980" s="3"/>
      <c r="K980" s="3"/>
      <c r="L980" s="3"/>
      <c r="M980" s="3"/>
      <c r="N980" s="3"/>
      <c r="O980" s="3"/>
      <c r="P980" s="3"/>
      <c r="Q980" s="3"/>
      <c r="R980" s="3"/>
      <c r="S980" s="3"/>
      <c r="T980" s="3"/>
      <c r="U980" s="3"/>
      <c r="V980" s="3"/>
      <c r="W980" s="3"/>
      <c r="X980" s="3"/>
      <c r="Y980" s="3"/>
      <c r="Z980" s="3"/>
      <c r="AA980" s="3"/>
      <c r="AB980" s="3"/>
      <c r="AC980" s="3"/>
      <c r="AD980" s="3"/>
      <c r="AE980" s="3"/>
      <c r="AF980" s="3"/>
    </row>
    <row r="981" spans="1:32" ht="12.75" x14ac:dyDescent="0.2">
      <c r="A981" s="29"/>
      <c r="B981" s="26"/>
      <c r="C981" s="26"/>
      <c r="D981" s="26"/>
      <c r="E981" s="26"/>
      <c r="F981" s="1"/>
      <c r="G981" s="1"/>
      <c r="H981" s="1"/>
      <c r="I981" s="3"/>
      <c r="J981" s="3"/>
      <c r="K981" s="3"/>
      <c r="L981" s="3"/>
      <c r="M981" s="3"/>
      <c r="N981" s="3"/>
      <c r="O981" s="3"/>
      <c r="P981" s="3"/>
      <c r="Q981" s="3"/>
      <c r="R981" s="3"/>
      <c r="S981" s="3"/>
      <c r="T981" s="3"/>
      <c r="U981" s="3"/>
      <c r="V981" s="3"/>
      <c r="W981" s="3"/>
      <c r="X981" s="3"/>
      <c r="Y981" s="3"/>
      <c r="Z981" s="3"/>
      <c r="AA981" s="3"/>
      <c r="AB981" s="3"/>
      <c r="AC981" s="3"/>
      <c r="AD981" s="3"/>
      <c r="AE981" s="3"/>
      <c r="AF981" s="3"/>
    </row>
    <row r="982" spans="1:32" ht="12.75" x14ac:dyDescent="0.2">
      <c r="A982" s="29"/>
      <c r="B982" s="26"/>
      <c r="C982" s="26"/>
      <c r="D982" s="26"/>
      <c r="E982" s="26"/>
      <c r="F982" s="1"/>
      <c r="G982" s="1"/>
      <c r="H982" s="1"/>
      <c r="I982" s="3"/>
      <c r="J982" s="3"/>
      <c r="K982" s="3"/>
      <c r="L982" s="3"/>
      <c r="M982" s="3"/>
      <c r="N982" s="3"/>
      <c r="O982" s="3"/>
      <c r="P982" s="3"/>
      <c r="Q982" s="3"/>
      <c r="R982" s="3"/>
      <c r="S982" s="3"/>
      <c r="T982" s="3"/>
      <c r="U982" s="3"/>
      <c r="V982" s="3"/>
      <c r="W982" s="3"/>
      <c r="X982" s="3"/>
      <c r="Y982" s="3"/>
      <c r="Z982" s="3"/>
      <c r="AA982" s="3"/>
      <c r="AB982" s="3"/>
      <c r="AC982" s="3"/>
      <c r="AD982" s="3"/>
      <c r="AE982" s="3"/>
      <c r="AF982" s="3"/>
    </row>
    <row r="983" spans="1:32" ht="12.75" x14ac:dyDescent="0.2">
      <c r="A983" s="29"/>
      <c r="B983" s="26"/>
      <c r="C983" s="26"/>
      <c r="D983" s="26"/>
      <c r="E983" s="26"/>
      <c r="F983" s="1"/>
      <c r="G983" s="1"/>
      <c r="H983" s="1"/>
      <c r="I983" s="3"/>
      <c r="J983" s="3"/>
      <c r="K983" s="3"/>
      <c r="L983" s="3"/>
      <c r="M983" s="3"/>
      <c r="N983" s="3"/>
      <c r="O983" s="3"/>
      <c r="P983" s="3"/>
      <c r="Q983" s="3"/>
      <c r="R983" s="3"/>
      <c r="S983" s="3"/>
      <c r="T983" s="3"/>
      <c r="U983" s="3"/>
      <c r="V983" s="3"/>
      <c r="W983" s="3"/>
      <c r="X983" s="3"/>
      <c r="Y983" s="3"/>
      <c r="Z983" s="3"/>
      <c r="AA983" s="3"/>
      <c r="AB983" s="3"/>
      <c r="AC983" s="3"/>
      <c r="AD983" s="3"/>
      <c r="AE983" s="3"/>
      <c r="AF983" s="3"/>
    </row>
    <row r="984" spans="1:32" ht="12.75" x14ac:dyDescent="0.2">
      <c r="A984" s="29"/>
      <c r="B984" s="26"/>
      <c r="C984" s="26"/>
      <c r="D984" s="26"/>
      <c r="E984" s="26"/>
      <c r="F984" s="1"/>
      <c r="G984" s="1"/>
      <c r="H984" s="1"/>
      <c r="I984" s="3"/>
      <c r="J984" s="3"/>
      <c r="K984" s="3"/>
      <c r="L984" s="3"/>
      <c r="M984" s="3"/>
      <c r="N984" s="3"/>
      <c r="O984" s="3"/>
      <c r="P984" s="3"/>
      <c r="Q984" s="3"/>
      <c r="R984" s="3"/>
      <c r="S984" s="3"/>
      <c r="T984" s="3"/>
      <c r="U984" s="3"/>
      <c r="V984" s="3"/>
      <c r="W984" s="3"/>
      <c r="X984" s="3"/>
      <c r="Y984" s="3"/>
      <c r="Z984" s="3"/>
      <c r="AA984" s="3"/>
      <c r="AB984" s="3"/>
      <c r="AC984" s="3"/>
      <c r="AD984" s="3"/>
      <c r="AE984" s="3"/>
      <c r="AF984" s="3"/>
    </row>
    <row r="985" spans="1:32" ht="12.75" x14ac:dyDescent="0.2">
      <c r="A985" s="29"/>
      <c r="B985" s="26"/>
      <c r="C985" s="26"/>
      <c r="D985" s="26"/>
      <c r="E985" s="26"/>
      <c r="F985" s="1"/>
      <c r="G985" s="1"/>
      <c r="H985" s="1"/>
      <c r="I985" s="3"/>
      <c r="J985" s="3"/>
      <c r="K985" s="3"/>
      <c r="L985" s="3"/>
      <c r="M985" s="3"/>
      <c r="N985" s="3"/>
      <c r="O985" s="3"/>
      <c r="P985" s="3"/>
      <c r="Q985" s="3"/>
      <c r="R985" s="3"/>
      <c r="S985" s="3"/>
      <c r="T985" s="3"/>
      <c r="U985" s="3"/>
      <c r="V985" s="3"/>
      <c r="W985" s="3"/>
      <c r="X985" s="3"/>
      <c r="Y985" s="3"/>
      <c r="Z985" s="3"/>
      <c r="AA985" s="3"/>
      <c r="AB985" s="3"/>
      <c r="AC985" s="3"/>
      <c r="AD985" s="3"/>
      <c r="AE985" s="3"/>
      <c r="AF985" s="3"/>
    </row>
    <row r="986" spans="1:32" ht="12.75" x14ac:dyDescent="0.2">
      <c r="A986" s="29"/>
      <c r="B986" s="26"/>
      <c r="C986" s="26"/>
      <c r="D986" s="26"/>
      <c r="E986" s="26"/>
      <c r="F986" s="1"/>
      <c r="G986" s="1"/>
      <c r="H986" s="1"/>
      <c r="I986" s="3"/>
      <c r="J986" s="3"/>
      <c r="K986" s="3"/>
      <c r="L986" s="3"/>
      <c r="M986" s="3"/>
      <c r="N986" s="3"/>
      <c r="O986" s="3"/>
      <c r="P986" s="3"/>
      <c r="Q986" s="3"/>
      <c r="R986" s="3"/>
      <c r="S986" s="3"/>
      <c r="T986" s="3"/>
      <c r="U986" s="3"/>
      <c r="V986" s="3"/>
      <c r="W986" s="3"/>
      <c r="X986" s="3"/>
      <c r="Y986" s="3"/>
      <c r="Z986" s="3"/>
      <c r="AA986" s="3"/>
      <c r="AB986" s="3"/>
      <c r="AC986" s="3"/>
      <c r="AD986" s="3"/>
      <c r="AE986" s="3"/>
      <c r="AF986" s="3"/>
    </row>
    <row r="987" spans="1:32" ht="12.75" x14ac:dyDescent="0.2">
      <c r="A987" s="29"/>
      <c r="B987" s="26"/>
      <c r="C987" s="26"/>
      <c r="D987" s="26"/>
      <c r="E987" s="26"/>
      <c r="F987" s="1"/>
      <c r="G987" s="1"/>
      <c r="H987" s="1"/>
      <c r="I987" s="3"/>
      <c r="J987" s="3"/>
      <c r="K987" s="3"/>
      <c r="L987" s="3"/>
      <c r="M987" s="3"/>
      <c r="N987" s="3"/>
      <c r="O987" s="3"/>
      <c r="P987" s="3"/>
      <c r="Q987" s="3"/>
      <c r="R987" s="3"/>
      <c r="S987" s="3"/>
      <c r="T987" s="3"/>
      <c r="U987" s="3"/>
      <c r="V987" s="3"/>
      <c r="W987" s="3"/>
      <c r="X987" s="3"/>
      <c r="Y987" s="3"/>
      <c r="Z987" s="3"/>
      <c r="AA987" s="3"/>
      <c r="AB987" s="3"/>
      <c r="AC987" s="3"/>
      <c r="AD987" s="3"/>
      <c r="AE987" s="3"/>
      <c r="AF987" s="3"/>
    </row>
    <row r="988" spans="1:32" ht="12.75" x14ac:dyDescent="0.2">
      <c r="A988" s="29"/>
      <c r="B988" s="26"/>
      <c r="C988" s="26"/>
      <c r="D988" s="26"/>
      <c r="E988" s="26"/>
      <c r="F988" s="1"/>
      <c r="G988" s="1"/>
      <c r="H988" s="1"/>
      <c r="I988" s="3"/>
      <c r="J988" s="3"/>
      <c r="K988" s="3"/>
      <c r="L988" s="3"/>
      <c r="M988" s="3"/>
      <c r="N988" s="3"/>
      <c r="O988" s="3"/>
      <c r="P988" s="3"/>
      <c r="Q988" s="3"/>
      <c r="R988" s="3"/>
      <c r="S988" s="3"/>
      <c r="T988" s="3"/>
      <c r="U988" s="3"/>
      <c r="V988" s="3"/>
      <c r="W988" s="3"/>
      <c r="X988" s="3"/>
      <c r="Y988" s="3"/>
      <c r="Z988" s="3"/>
      <c r="AA988" s="3"/>
      <c r="AB988" s="3"/>
      <c r="AC988" s="3"/>
      <c r="AD988" s="3"/>
      <c r="AE988" s="3"/>
      <c r="AF988" s="3"/>
    </row>
    <row r="989" spans="1:32" ht="12.75" x14ac:dyDescent="0.2">
      <c r="A989" s="29"/>
      <c r="B989" s="26"/>
      <c r="C989" s="26"/>
      <c r="D989" s="26"/>
      <c r="E989" s="26"/>
      <c r="F989" s="1"/>
      <c r="G989" s="1"/>
      <c r="H989" s="1"/>
      <c r="I989" s="3"/>
      <c r="J989" s="3"/>
      <c r="K989" s="3"/>
      <c r="L989" s="3"/>
      <c r="M989" s="3"/>
      <c r="N989" s="3"/>
      <c r="O989" s="3"/>
      <c r="P989" s="3"/>
      <c r="Q989" s="3"/>
      <c r="R989" s="3"/>
      <c r="S989" s="3"/>
      <c r="T989" s="3"/>
      <c r="U989" s="3"/>
      <c r="V989" s="3"/>
      <c r="W989" s="3"/>
      <c r="X989" s="3"/>
      <c r="Y989" s="3"/>
      <c r="Z989" s="3"/>
      <c r="AA989" s="3"/>
      <c r="AB989" s="3"/>
      <c r="AC989" s="3"/>
      <c r="AD989" s="3"/>
      <c r="AE989" s="3"/>
      <c r="AF989" s="3"/>
    </row>
    <row r="990" spans="1:32" ht="12.75" x14ac:dyDescent="0.2">
      <c r="A990" s="29"/>
      <c r="B990" s="26"/>
      <c r="C990" s="26"/>
      <c r="D990" s="26"/>
      <c r="E990" s="26"/>
      <c r="F990" s="1"/>
      <c r="G990" s="1"/>
      <c r="H990" s="1"/>
      <c r="I990" s="3"/>
      <c r="J990" s="3"/>
      <c r="K990" s="3"/>
      <c r="L990" s="3"/>
      <c r="M990" s="3"/>
      <c r="N990" s="3"/>
      <c r="O990" s="3"/>
      <c r="P990" s="3"/>
      <c r="Q990" s="3"/>
      <c r="R990" s="3"/>
      <c r="S990" s="3"/>
      <c r="T990" s="3"/>
      <c r="U990" s="3"/>
      <c r="V990" s="3"/>
      <c r="W990" s="3"/>
      <c r="X990" s="3"/>
      <c r="Y990" s="3"/>
      <c r="Z990" s="3"/>
      <c r="AA990" s="3"/>
      <c r="AB990" s="3"/>
      <c r="AC990" s="3"/>
      <c r="AD990" s="3"/>
      <c r="AE990" s="3"/>
      <c r="AF990" s="3"/>
    </row>
    <row r="991" spans="1:32" ht="12.75" x14ac:dyDescent="0.2">
      <c r="A991" s="29"/>
      <c r="B991" s="26"/>
      <c r="C991" s="26"/>
      <c r="D991" s="26"/>
      <c r="E991" s="26"/>
      <c r="F991" s="1"/>
      <c r="G991" s="1"/>
      <c r="H991" s="1"/>
      <c r="I991" s="3"/>
      <c r="J991" s="3"/>
      <c r="K991" s="3"/>
      <c r="L991" s="3"/>
      <c r="M991" s="3"/>
      <c r="N991" s="3"/>
      <c r="O991" s="3"/>
      <c r="P991" s="3"/>
      <c r="Q991" s="3"/>
      <c r="R991" s="3"/>
      <c r="S991" s="3"/>
      <c r="T991" s="3"/>
      <c r="U991" s="3"/>
      <c r="V991" s="3"/>
      <c r="W991" s="3"/>
      <c r="X991" s="3"/>
      <c r="Y991" s="3"/>
      <c r="Z991" s="3"/>
      <c r="AA991" s="3"/>
      <c r="AB991" s="3"/>
      <c r="AC991" s="3"/>
      <c r="AD991" s="3"/>
      <c r="AE991" s="3"/>
      <c r="AF991" s="3"/>
    </row>
    <row r="992" spans="1:32" ht="12.75" x14ac:dyDescent="0.2">
      <c r="A992" s="29"/>
      <c r="B992" s="26"/>
      <c r="C992" s="26"/>
      <c r="D992" s="26"/>
      <c r="E992" s="26"/>
      <c r="F992" s="1"/>
      <c r="G992" s="1"/>
      <c r="H992" s="1"/>
      <c r="I992" s="3"/>
      <c r="J992" s="3"/>
      <c r="K992" s="3"/>
      <c r="L992" s="3"/>
      <c r="M992" s="3"/>
      <c r="N992" s="3"/>
      <c r="O992" s="3"/>
      <c r="P992" s="3"/>
      <c r="Q992" s="3"/>
      <c r="R992" s="3"/>
      <c r="S992" s="3"/>
      <c r="T992" s="3"/>
      <c r="U992" s="3"/>
      <c r="V992" s="3"/>
      <c r="W992" s="3"/>
      <c r="X992" s="3"/>
      <c r="Y992" s="3"/>
      <c r="Z992" s="3"/>
      <c r="AA992" s="3"/>
      <c r="AB992" s="3"/>
      <c r="AC992" s="3"/>
      <c r="AD992" s="3"/>
      <c r="AE992" s="3"/>
      <c r="AF992" s="3"/>
    </row>
    <row r="993" spans="1:32" ht="12.75" x14ac:dyDescent="0.2">
      <c r="A993" s="29"/>
      <c r="B993" s="26"/>
      <c r="C993" s="26"/>
      <c r="D993" s="26"/>
      <c r="E993" s="26"/>
      <c r="F993" s="1"/>
      <c r="G993" s="1"/>
      <c r="H993" s="1"/>
      <c r="I993" s="3"/>
      <c r="J993" s="3"/>
      <c r="K993" s="3"/>
      <c r="L993" s="3"/>
      <c r="M993" s="3"/>
      <c r="N993" s="3"/>
      <c r="O993" s="3"/>
      <c r="P993" s="3"/>
      <c r="Q993" s="3"/>
      <c r="R993" s="3"/>
      <c r="S993" s="3"/>
      <c r="T993" s="3"/>
      <c r="U993" s="3"/>
      <c r="V993" s="3"/>
      <c r="W993" s="3"/>
      <c r="X993" s="3"/>
      <c r="Y993" s="3"/>
      <c r="Z993" s="3"/>
      <c r="AA993" s="3"/>
      <c r="AB993" s="3"/>
      <c r="AC993" s="3"/>
      <c r="AD993" s="3"/>
      <c r="AE993" s="3"/>
      <c r="AF993" s="3"/>
    </row>
    <row r="994" spans="1:32" ht="12.75" x14ac:dyDescent="0.2">
      <c r="A994" s="29"/>
      <c r="B994" s="26"/>
      <c r="C994" s="26"/>
      <c r="D994" s="26"/>
      <c r="E994" s="26"/>
      <c r="F994" s="1"/>
      <c r="G994" s="1"/>
      <c r="H994" s="1"/>
      <c r="I994" s="3"/>
      <c r="J994" s="3"/>
      <c r="K994" s="3"/>
      <c r="L994" s="3"/>
      <c r="M994" s="3"/>
      <c r="N994" s="3"/>
      <c r="O994" s="3"/>
      <c r="P994" s="3"/>
      <c r="Q994" s="3"/>
      <c r="R994" s="3"/>
      <c r="S994" s="3"/>
      <c r="T994" s="3"/>
      <c r="U994" s="3"/>
      <c r="V994" s="3"/>
      <c r="W994" s="3"/>
      <c r="X994" s="3"/>
      <c r="Y994" s="3"/>
      <c r="Z994" s="3"/>
      <c r="AA994" s="3"/>
      <c r="AB994" s="3"/>
      <c r="AC994" s="3"/>
      <c r="AD994" s="3"/>
      <c r="AE994" s="3"/>
      <c r="AF994" s="3"/>
    </row>
    <row r="995" spans="1:32" ht="12.75" x14ac:dyDescent="0.2">
      <c r="A995" s="29"/>
      <c r="B995" s="26"/>
      <c r="C995" s="26"/>
      <c r="D995" s="26"/>
      <c r="E995" s="26"/>
      <c r="F995" s="1"/>
      <c r="G995" s="1"/>
      <c r="H995" s="1"/>
      <c r="I995" s="3"/>
      <c r="J995" s="3"/>
      <c r="K995" s="3"/>
      <c r="L995" s="3"/>
      <c r="M995" s="3"/>
      <c r="N995" s="3"/>
      <c r="O995" s="3"/>
      <c r="P995" s="3"/>
      <c r="Q995" s="3"/>
      <c r="R995" s="3"/>
      <c r="S995" s="3"/>
      <c r="T995" s="3"/>
      <c r="U995" s="3"/>
      <c r="V995" s="3"/>
      <c r="W995" s="3"/>
      <c r="X995" s="3"/>
      <c r="Y995" s="3"/>
      <c r="Z995" s="3"/>
      <c r="AA995" s="3"/>
      <c r="AB995" s="3"/>
      <c r="AC995" s="3"/>
      <c r="AD995" s="3"/>
      <c r="AE995" s="3"/>
      <c r="AF995" s="3"/>
    </row>
    <row r="996" spans="1:32" ht="12.75" x14ac:dyDescent="0.2">
      <c r="A996" s="29"/>
      <c r="B996" s="26"/>
      <c r="C996" s="26"/>
      <c r="D996" s="26"/>
      <c r="E996" s="26"/>
      <c r="F996" s="1"/>
      <c r="G996" s="1"/>
      <c r="H996" s="1"/>
      <c r="I996" s="3"/>
      <c r="J996" s="3"/>
      <c r="K996" s="3"/>
      <c r="L996" s="3"/>
      <c r="M996" s="3"/>
      <c r="N996" s="3"/>
      <c r="O996" s="3"/>
      <c r="P996" s="3"/>
      <c r="Q996" s="3"/>
      <c r="R996" s="3"/>
      <c r="S996" s="3"/>
      <c r="T996" s="3"/>
      <c r="U996" s="3"/>
      <c r="V996" s="3"/>
      <c r="W996" s="3"/>
      <c r="X996" s="3"/>
      <c r="Y996" s="3"/>
      <c r="Z996" s="3"/>
      <c r="AA996" s="3"/>
      <c r="AB996" s="3"/>
      <c r="AC996" s="3"/>
      <c r="AD996" s="3"/>
      <c r="AE996" s="3"/>
      <c r="AF996" s="3"/>
    </row>
    <row r="997" spans="1:32" ht="12.75" x14ac:dyDescent="0.2">
      <c r="A997" s="29"/>
      <c r="B997" s="26"/>
      <c r="C997" s="26"/>
      <c r="D997" s="26"/>
      <c r="E997" s="26"/>
      <c r="F997" s="1"/>
      <c r="G997" s="1"/>
      <c r="H997" s="1"/>
      <c r="I997" s="3"/>
      <c r="J997" s="3"/>
      <c r="K997" s="3"/>
      <c r="L997" s="3"/>
      <c r="M997" s="3"/>
      <c r="N997" s="3"/>
      <c r="O997" s="3"/>
      <c r="P997" s="3"/>
      <c r="Q997" s="3"/>
      <c r="R997" s="3"/>
      <c r="S997" s="3"/>
      <c r="T997" s="3"/>
      <c r="U997" s="3"/>
      <c r="V997" s="3"/>
      <c r="W997" s="3"/>
      <c r="X997" s="3"/>
      <c r="Y997" s="3"/>
      <c r="Z997" s="3"/>
      <c r="AA997" s="3"/>
      <c r="AB997" s="3"/>
      <c r="AC997" s="3"/>
      <c r="AD997" s="3"/>
      <c r="AE997" s="3"/>
      <c r="AF997" s="3"/>
    </row>
    <row r="998" spans="1:32" ht="12.75" x14ac:dyDescent="0.2">
      <c r="A998" s="29"/>
      <c r="B998" s="26"/>
      <c r="C998" s="26"/>
      <c r="D998" s="26"/>
      <c r="E998" s="26"/>
      <c r="F998" s="1"/>
      <c r="G998" s="1"/>
      <c r="H998" s="1"/>
      <c r="I998" s="3"/>
      <c r="J998" s="3"/>
      <c r="K998" s="3"/>
      <c r="L998" s="3"/>
      <c r="M998" s="3"/>
      <c r="N998" s="3"/>
      <c r="O998" s="3"/>
      <c r="P998" s="3"/>
      <c r="Q998" s="3"/>
      <c r="R998" s="3"/>
      <c r="S998" s="3"/>
      <c r="T998" s="3"/>
      <c r="U998" s="3"/>
      <c r="V998" s="3"/>
      <c r="W998" s="3"/>
      <c r="X998" s="3"/>
      <c r="Y998" s="3"/>
      <c r="Z998" s="3"/>
      <c r="AA998" s="3"/>
      <c r="AB998" s="3"/>
      <c r="AC998" s="3"/>
      <c r="AD998" s="3"/>
      <c r="AE998" s="3"/>
      <c r="AF998" s="3"/>
    </row>
    <row r="999" spans="1:32" ht="12.75" x14ac:dyDescent="0.2">
      <c r="A999" s="29"/>
      <c r="B999" s="26"/>
      <c r="C999" s="26"/>
      <c r="D999" s="26"/>
      <c r="E999" s="26"/>
      <c r="F999" s="1"/>
      <c r="G999" s="1"/>
      <c r="H999" s="1"/>
      <c r="I999" s="3"/>
      <c r="J999" s="3"/>
      <c r="K999" s="3"/>
      <c r="L999" s="3"/>
      <c r="M999" s="3"/>
      <c r="N999" s="3"/>
      <c r="O999" s="3"/>
      <c r="P999" s="3"/>
      <c r="Q999" s="3"/>
      <c r="R999" s="3"/>
      <c r="S999" s="3"/>
      <c r="T999" s="3"/>
      <c r="U999" s="3"/>
      <c r="V999" s="3"/>
      <c r="W999" s="3"/>
      <c r="X999" s="3"/>
      <c r="Y999" s="3"/>
      <c r="Z999" s="3"/>
      <c r="AA999" s="3"/>
      <c r="AB999" s="3"/>
      <c r="AC999" s="3"/>
      <c r="AD999" s="3"/>
      <c r="AE999" s="3"/>
      <c r="AF999" s="3"/>
    </row>
    <row r="1000" spans="1:32" ht="12.75" x14ac:dyDescent="0.2">
      <c r="A1000" s="29"/>
      <c r="B1000" s="26"/>
      <c r="C1000" s="26"/>
      <c r="D1000" s="26"/>
      <c r="E1000" s="26"/>
      <c r="F1000" s="1"/>
      <c r="G1000" s="1"/>
      <c r="H1000" s="1"/>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row>
    <row r="1001" spans="1:32" ht="12.75" x14ac:dyDescent="0.2">
      <c r="A1001" s="29"/>
      <c r="B1001" s="26"/>
      <c r="C1001" s="26"/>
      <c r="D1001" s="26"/>
      <c r="E1001" s="26"/>
      <c r="F1001" s="1"/>
      <c r="G1001" s="1"/>
      <c r="H1001" s="1"/>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row>
    <row r="1002" spans="1:32" ht="12.75" x14ac:dyDescent="0.2">
      <c r="A1002" s="29"/>
      <c r="B1002" s="26"/>
      <c r="C1002" s="26"/>
      <c r="D1002" s="26"/>
      <c r="E1002" s="26"/>
      <c r="F1002" s="1"/>
      <c r="G1002" s="1"/>
      <c r="H1002" s="1"/>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row>
    <row r="1003" spans="1:32" ht="12.75" x14ac:dyDescent="0.2">
      <c r="A1003" s="29"/>
      <c r="B1003" s="26"/>
      <c r="C1003" s="26"/>
      <c r="D1003" s="26"/>
      <c r="E1003" s="26"/>
      <c r="F1003" s="1"/>
      <c r="G1003" s="1"/>
      <c r="H1003" s="1"/>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row>
    <row r="1004" spans="1:32" ht="12.75" x14ac:dyDescent="0.2">
      <c r="A1004" s="29"/>
      <c r="B1004" s="26"/>
      <c r="C1004" s="26"/>
      <c r="D1004" s="26"/>
      <c r="E1004" s="26"/>
      <c r="F1004" s="1"/>
      <c r="G1004" s="1"/>
      <c r="H1004" s="1"/>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row>
    <row r="1005" spans="1:32" ht="12.75" x14ac:dyDescent="0.2">
      <c r="A1005" s="29"/>
      <c r="B1005" s="26"/>
      <c r="C1005" s="26"/>
      <c r="D1005" s="26"/>
      <c r="E1005" s="26"/>
      <c r="F1005" s="1"/>
      <c r="G1005" s="1"/>
      <c r="H1005" s="1"/>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row>
    <row r="1006" spans="1:32" ht="12.75" x14ac:dyDescent="0.2">
      <c r="A1006" s="29"/>
      <c r="B1006" s="26"/>
      <c r="C1006" s="26"/>
      <c r="D1006" s="26"/>
      <c r="E1006" s="26"/>
      <c r="F1006" s="1"/>
      <c r="G1006" s="1"/>
      <c r="H1006" s="1"/>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row>
    <row r="1007" spans="1:32" ht="12.75" x14ac:dyDescent="0.2">
      <c r="A1007" s="29"/>
      <c r="B1007" s="26"/>
      <c r="C1007" s="26"/>
      <c r="D1007" s="26"/>
      <c r="E1007" s="26"/>
      <c r="F1007" s="1"/>
      <c r="G1007" s="1"/>
      <c r="H1007" s="1"/>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row>
    <row r="1008" spans="1:32" ht="12.75" x14ac:dyDescent="0.2">
      <c r="A1008" s="29"/>
      <c r="B1008" s="26"/>
      <c r="C1008" s="26"/>
      <c r="D1008" s="26"/>
      <c r="E1008" s="26"/>
      <c r="F1008" s="1"/>
      <c r="G1008" s="1"/>
      <c r="H1008" s="1"/>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row>
    <row r="1009" spans="1:32" ht="12.75" x14ac:dyDescent="0.2">
      <c r="A1009" s="29"/>
      <c r="B1009" s="26"/>
      <c r="C1009" s="26"/>
      <c r="D1009" s="26"/>
      <c r="E1009" s="26"/>
      <c r="F1009" s="1"/>
      <c r="G1009" s="1"/>
      <c r="H1009" s="1"/>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row>
    <row r="1010" spans="1:32" ht="12.75" x14ac:dyDescent="0.2">
      <c r="A1010" s="29"/>
      <c r="B1010" s="26"/>
      <c r="C1010" s="26"/>
      <c r="D1010" s="26"/>
      <c r="E1010" s="26"/>
      <c r="F1010" s="1"/>
      <c r="G1010" s="1"/>
      <c r="H1010" s="1"/>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row>
    <row r="1011" spans="1:32" ht="12.75" x14ac:dyDescent="0.2">
      <c r="A1011" s="29"/>
      <c r="B1011" s="26"/>
      <c r="C1011" s="26"/>
      <c r="D1011" s="26"/>
      <c r="E1011" s="26"/>
      <c r="F1011" s="1"/>
      <c r="G1011" s="1"/>
      <c r="H1011" s="1"/>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row>
    <row r="1012" spans="1:32" ht="12.75" x14ac:dyDescent="0.2">
      <c r="A1012" s="29"/>
      <c r="B1012" s="26"/>
      <c r="C1012" s="26"/>
      <c r="D1012" s="26"/>
      <c r="E1012" s="26"/>
      <c r="F1012" s="1"/>
      <c r="G1012" s="1"/>
      <c r="H1012" s="1"/>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row>
    <row r="1013" spans="1:32" ht="12.75" x14ac:dyDescent="0.2">
      <c r="A1013" s="29"/>
      <c r="B1013" s="26"/>
      <c r="C1013" s="26"/>
      <c r="D1013" s="26"/>
      <c r="E1013" s="26"/>
      <c r="F1013" s="1"/>
      <c r="G1013" s="1"/>
      <c r="H1013" s="1"/>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row>
    <row r="1014" spans="1:32" ht="12.75" x14ac:dyDescent="0.2">
      <c r="A1014" s="29"/>
      <c r="B1014" s="26"/>
      <c r="C1014" s="26"/>
      <c r="D1014" s="26"/>
      <c r="E1014" s="26"/>
      <c r="F1014" s="1"/>
      <c r="G1014" s="1"/>
      <c r="H1014" s="1"/>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row>
    <row r="1015" spans="1:32" ht="12.75" x14ac:dyDescent="0.2">
      <c r="A1015" s="29"/>
      <c r="B1015" s="26"/>
      <c r="C1015" s="26"/>
      <c r="D1015" s="26"/>
      <c r="E1015" s="26"/>
      <c r="F1015" s="1"/>
      <c r="G1015" s="1"/>
      <c r="H1015" s="1"/>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row>
    <row r="1016" spans="1:32" ht="12.75" x14ac:dyDescent="0.2">
      <c r="A1016" s="29"/>
      <c r="B1016" s="26"/>
      <c r="C1016" s="26"/>
      <c r="D1016" s="26"/>
      <c r="E1016" s="26"/>
      <c r="F1016" s="1"/>
      <c r="G1016" s="1"/>
      <c r="H1016" s="1"/>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row>
    <row r="1017" spans="1:32" ht="12.75" x14ac:dyDescent="0.2">
      <c r="A1017" s="29"/>
      <c r="B1017" s="26"/>
      <c r="C1017" s="26"/>
      <c r="D1017" s="26"/>
      <c r="E1017" s="26"/>
      <c r="F1017" s="1"/>
      <c r="G1017" s="1"/>
      <c r="H1017" s="1"/>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row>
    <row r="1018" spans="1:32" ht="12.75" x14ac:dyDescent="0.2">
      <c r="A1018" s="29"/>
      <c r="B1018" s="26"/>
      <c r="C1018" s="26"/>
      <c r="D1018" s="26"/>
      <c r="E1018" s="26"/>
      <c r="F1018" s="1"/>
      <c r="G1018" s="1"/>
      <c r="H1018" s="1"/>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row>
    <row r="1019" spans="1:32" ht="12.75" x14ac:dyDescent="0.2">
      <c r="A1019" s="29"/>
      <c r="B1019" s="26"/>
      <c r="C1019" s="26"/>
      <c r="D1019" s="26"/>
      <c r="E1019" s="26"/>
      <c r="F1019" s="1"/>
      <c r="G1019" s="1"/>
      <c r="H1019" s="1"/>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row>
    <row r="1020" spans="1:32" ht="12.75" x14ac:dyDescent="0.2">
      <c r="A1020" s="29"/>
      <c r="B1020" s="26"/>
      <c r="C1020" s="26"/>
      <c r="D1020" s="26"/>
      <c r="E1020" s="26"/>
      <c r="F1020" s="1"/>
      <c r="G1020" s="1"/>
      <c r="H1020" s="1"/>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row>
    <row r="1021" spans="1:32" ht="12.75" x14ac:dyDescent="0.2">
      <c r="A1021" s="29"/>
      <c r="B1021" s="26"/>
      <c r="C1021" s="26"/>
      <c r="D1021" s="26"/>
      <c r="E1021" s="26"/>
      <c r="F1021" s="1"/>
      <c r="G1021" s="1"/>
      <c r="H1021" s="1"/>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row>
    <row r="1022" spans="1:32" ht="12.75" x14ac:dyDescent="0.2">
      <c r="A1022" s="29"/>
      <c r="B1022" s="26"/>
      <c r="C1022" s="26"/>
      <c r="D1022" s="26"/>
      <c r="E1022" s="26"/>
      <c r="F1022" s="1"/>
      <c r="G1022" s="1"/>
      <c r="H1022" s="1"/>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row>
    <row r="1023" spans="1:32" ht="12.75" x14ac:dyDescent="0.2">
      <c r="A1023" s="29"/>
      <c r="B1023" s="26"/>
      <c r="C1023" s="26"/>
      <c r="D1023" s="26"/>
      <c r="E1023" s="26"/>
      <c r="F1023" s="1"/>
      <c r="G1023" s="1"/>
      <c r="H1023" s="1"/>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row>
    <row r="1024" spans="1:32" ht="12.75" x14ac:dyDescent="0.2">
      <c r="A1024" s="29"/>
      <c r="B1024" s="26"/>
      <c r="C1024" s="26"/>
      <c r="D1024" s="26"/>
      <c r="E1024" s="26"/>
      <c r="F1024" s="1"/>
      <c r="G1024" s="1"/>
      <c r="H1024" s="1"/>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row>
    <row r="1025" spans="1:32" ht="12.75" x14ac:dyDescent="0.2">
      <c r="A1025" s="29"/>
      <c r="B1025" s="26"/>
      <c r="C1025" s="26"/>
      <c r="D1025" s="26"/>
      <c r="E1025" s="26"/>
      <c r="F1025" s="1"/>
      <c r="G1025" s="1"/>
      <c r="H1025" s="1"/>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row>
    <row r="1026" spans="1:32" ht="12.75" x14ac:dyDescent="0.2">
      <c r="A1026" s="29"/>
      <c r="B1026" s="26"/>
      <c r="C1026" s="26"/>
      <c r="D1026" s="26"/>
      <c r="E1026" s="26"/>
      <c r="F1026" s="1"/>
      <c r="G1026" s="1"/>
      <c r="H1026" s="1"/>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row>
    <row r="1027" spans="1:32" ht="12.75" x14ac:dyDescent="0.2">
      <c r="A1027" s="29"/>
      <c r="B1027" s="26"/>
      <c r="C1027" s="26"/>
      <c r="D1027" s="26"/>
      <c r="E1027" s="26"/>
      <c r="F1027" s="1"/>
      <c r="G1027" s="1"/>
      <c r="H1027" s="1"/>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row>
    <row r="1028" spans="1:32" ht="12.75" x14ac:dyDescent="0.2">
      <c r="A1028" s="29"/>
      <c r="B1028" s="26"/>
      <c r="C1028" s="26"/>
      <c r="D1028" s="26"/>
      <c r="E1028" s="26"/>
      <c r="F1028" s="1"/>
      <c r="G1028" s="1"/>
      <c r="H1028" s="1"/>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row>
    <row r="1029" spans="1:32" ht="12.75" x14ac:dyDescent="0.2">
      <c r="A1029" s="29"/>
      <c r="B1029" s="26"/>
      <c r="C1029" s="26"/>
      <c r="D1029" s="26"/>
      <c r="E1029" s="26"/>
      <c r="F1029" s="1"/>
      <c r="G1029" s="1"/>
      <c r="H1029" s="1"/>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row>
    <row r="1030" spans="1:32" ht="12.75" x14ac:dyDescent="0.2">
      <c r="A1030" s="29"/>
      <c r="B1030" s="26"/>
      <c r="C1030" s="26"/>
      <c r="D1030" s="26"/>
      <c r="E1030" s="26"/>
      <c r="F1030" s="1"/>
      <c r="G1030" s="1"/>
      <c r="H1030" s="1"/>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row>
    <row r="1031" spans="1:32" ht="12.75" x14ac:dyDescent="0.2">
      <c r="A1031" s="29"/>
      <c r="B1031" s="26"/>
      <c r="C1031" s="26"/>
      <c r="D1031" s="26"/>
      <c r="E1031" s="26"/>
      <c r="F1031" s="1"/>
      <c r="G1031" s="1"/>
      <c r="H1031" s="1"/>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row>
    <row r="1032" spans="1:32" ht="12.75" x14ac:dyDescent="0.2">
      <c r="A1032" s="29"/>
      <c r="B1032" s="26"/>
      <c r="C1032" s="26"/>
      <c r="D1032" s="26"/>
      <c r="E1032" s="26"/>
      <c r="F1032" s="1"/>
      <c r="G1032" s="1"/>
      <c r="H1032" s="1"/>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row>
    <row r="1033" spans="1:32" ht="12.75" x14ac:dyDescent="0.2">
      <c r="A1033" s="29"/>
      <c r="B1033" s="26"/>
      <c r="C1033" s="26"/>
      <c r="D1033" s="26"/>
      <c r="E1033" s="26"/>
      <c r="F1033" s="1"/>
      <c r="G1033" s="1"/>
      <c r="H1033" s="1"/>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row>
    <row r="1034" spans="1:32" ht="12.75" x14ac:dyDescent="0.2">
      <c r="A1034" s="29"/>
      <c r="B1034" s="26"/>
      <c r="C1034" s="26"/>
      <c r="D1034" s="26"/>
      <c r="E1034" s="26"/>
      <c r="F1034" s="1"/>
      <c r="G1034" s="1"/>
      <c r="H1034" s="1"/>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row>
    <row r="1035" spans="1:32" ht="12.75" x14ac:dyDescent="0.2">
      <c r="A1035" s="29"/>
      <c r="B1035" s="26"/>
      <c r="C1035" s="26"/>
      <c r="D1035" s="26"/>
      <c r="E1035" s="26"/>
      <c r="F1035" s="1"/>
      <c r="G1035" s="1"/>
      <c r="H1035" s="1"/>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row>
    <row r="1036" spans="1:32" ht="12.75" x14ac:dyDescent="0.2">
      <c r="A1036" s="29"/>
      <c r="B1036" s="26"/>
      <c r="C1036" s="26"/>
      <c r="D1036" s="26"/>
      <c r="E1036" s="26"/>
      <c r="F1036" s="1"/>
      <c r="G1036" s="1"/>
      <c r="H1036" s="1"/>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row>
    <row r="1037" spans="1:32" ht="12.75" x14ac:dyDescent="0.2">
      <c r="A1037" s="29"/>
      <c r="B1037" s="26"/>
      <c r="C1037" s="26"/>
      <c r="D1037" s="26"/>
      <c r="E1037" s="26"/>
      <c r="F1037" s="1"/>
      <c r="G1037" s="1"/>
      <c r="H1037" s="1"/>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row>
    <row r="1038" spans="1:32" ht="12.75" x14ac:dyDescent="0.2">
      <c r="A1038" s="29"/>
      <c r="B1038" s="26"/>
      <c r="C1038" s="26"/>
      <c r="D1038" s="26"/>
      <c r="E1038" s="26"/>
      <c r="F1038" s="1"/>
      <c r="G1038" s="1"/>
      <c r="H1038" s="1"/>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row>
    <row r="1039" spans="1:32" ht="12.75" x14ac:dyDescent="0.2">
      <c r="A1039" s="29"/>
      <c r="B1039" s="26"/>
      <c r="C1039" s="26"/>
      <c r="D1039" s="26"/>
      <c r="E1039" s="26"/>
      <c r="F1039" s="1"/>
      <c r="G1039" s="1"/>
      <c r="H1039" s="1"/>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row>
    <row r="1040" spans="1:32" ht="12.75" x14ac:dyDescent="0.2">
      <c r="A1040" s="29"/>
      <c r="B1040" s="26"/>
      <c r="C1040" s="26"/>
      <c r="D1040" s="26"/>
      <c r="E1040" s="26"/>
      <c r="F1040" s="1"/>
      <c r="G1040" s="1"/>
      <c r="H1040" s="1"/>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row>
    <row r="1041" spans="1:32" ht="12.75" x14ac:dyDescent="0.2">
      <c r="A1041" s="29"/>
      <c r="B1041" s="26"/>
      <c r="C1041" s="26"/>
      <c r="D1041" s="26"/>
      <c r="E1041" s="26"/>
      <c r="F1041" s="1"/>
      <c r="G1041" s="1"/>
      <c r="H1041" s="1"/>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row>
    <row r="1042" spans="1:32" ht="12.75" x14ac:dyDescent="0.2">
      <c r="A1042" s="29"/>
      <c r="B1042" s="26"/>
      <c r="C1042" s="26"/>
      <c r="D1042" s="26"/>
      <c r="E1042" s="26"/>
      <c r="F1042" s="1"/>
      <c r="G1042" s="1"/>
      <c r="H1042" s="1"/>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row>
    <row r="1043" spans="1:32" ht="12.75" x14ac:dyDescent="0.2">
      <c r="A1043" s="29"/>
      <c r="B1043" s="26"/>
      <c r="C1043" s="26"/>
      <c r="D1043" s="26"/>
      <c r="E1043" s="26"/>
      <c r="F1043" s="1"/>
      <c r="G1043" s="1"/>
      <c r="H1043" s="1"/>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row>
    <row r="1044" spans="1:32" ht="12.75" x14ac:dyDescent="0.2">
      <c r="A1044" s="29"/>
      <c r="B1044" s="26"/>
      <c r="C1044" s="26"/>
      <c r="D1044" s="26"/>
      <c r="E1044" s="26"/>
      <c r="F1044" s="1"/>
      <c r="G1044" s="1"/>
      <c r="H1044" s="1"/>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row>
    <row r="1045" spans="1:32" ht="12.75" x14ac:dyDescent="0.2">
      <c r="A1045" s="29"/>
      <c r="B1045" s="26"/>
      <c r="C1045" s="26"/>
      <c r="D1045" s="26"/>
      <c r="E1045" s="26"/>
      <c r="F1045" s="1"/>
      <c r="G1045" s="1"/>
      <c r="H1045" s="1"/>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row>
    <row r="1046" spans="1:32" ht="12.75" x14ac:dyDescent="0.2">
      <c r="A1046" s="29"/>
      <c r="B1046" s="26"/>
      <c r="C1046" s="26"/>
      <c r="D1046" s="26"/>
      <c r="E1046" s="26"/>
      <c r="F1046" s="1"/>
      <c r="G1046" s="1"/>
      <c r="H1046" s="1"/>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row>
    <row r="1047" spans="1:32" ht="12.75" x14ac:dyDescent="0.2">
      <c r="A1047" s="29"/>
      <c r="B1047" s="26"/>
      <c r="C1047" s="26"/>
      <c r="D1047" s="26"/>
      <c r="E1047" s="26"/>
      <c r="F1047" s="1"/>
      <c r="G1047" s="1"/>
      <c r="H1047" s="1"/>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row>
    <row r="1048" spans="1:32" ht="12.75" x14ac:dyDescent="0.2">
      <c r="A1048" s="29"/>
      <c r="B1048" s="26"/>
      <c r="C1048" s="26"/>
      <c r="D1048" s="26"/>
      <c r="E1048" s="26"/>
      <c r="F1048" s="1"/>
      <c r="G1048" s="1"/>
      <c r="H1048" s="1"/>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row>
    <row r="1049" spans="1:32" ht="12.75" x14ac:dyDescent="0.2">
      <c r="A1049" s="29"/>
      <c r="B1049" s="26"/>
      <c r="C1049" s="26"/>
      <c r="D1049" s="26"/>
      <c r="E1049" s="26"/>
      <c r="F1049" s="1"/>
      <c r="G1049" s="1"/>
      <c r="H1049" s="1"/>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row>
    <row r="1050" spans="1:32" ht="12.75" x14ac:dyDescent="0.2">
      <c r="A1050" s="29"/>
      <c r="B1050" s="26"/>
      <c r="C1050" s="26"/>
      <c r="D1050" s="26"/>
      <c r="E1050" s="26"/>
      <c r="F1050" s="1"/>
      <c r="G1050" s="1"/>
      <c r="H1050" s="1"/>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row>
    <row r="1051" spans="1:32" ht="12.75" x14ac:dyDescent="0.2">
      <c r="A1051" s="29"/>
      <c r="B1051" s="26"/>
      <c r="C1051" s="26"/>
      <c r="D1051" s="26"/>
      <c r="E1051" s="26"/>
      <c r="F1051" s="1"/>
      <c r="G1051" s="1"/>
      <c r="H1051" s="1"/>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row>
    <row r="1052" spans="1:32" ht="12.75" x14ac:dyDescent="0.2">
      <c r="A1052" s="29"/>
      <c r="B1052" s="26"/>
      <c r="C1052" s="26"/>
      <c r="D1052" s="26"/>
      <c r="E1052" s="26"/>
      <c r="F1052" s="1"/>
      <c r="G1052" s="1"/>
      <c r="H1052" s="1"/>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row>
    <row r="1053" spans="1:32" ht="12.75" x14ac:dyDescent="0.2">
      <c r="A1053" s="29"/>
      <c r="B1053" s="26"/>
      <c r="C1053" s="26"/>
      <c r="D1053" s="26"/>
      <c r="E1053" s="26"/>
      <c r="F1053" s="1"/>
      <c r="G1053" s="1"/>
      <c r="H1053" s="1"/>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row>
    <row r="1054" spans="1:32" ht="12.75" x14ac:dyDescent="0.2">
      <c r="A1054" s="29"/>
      <c r="B1054" s="26"/>
      <c r="C1054" s="26"/>
      <c r="D1054" s="26"/>
      <c r="E1054" s="26"/>
      <c r="F1054" s="1"/>
      <c r="G1054" s="1"/>
      <c r="H1054" s="1"/>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row>
    <row r="1055" spans="1:32" ht="12.75" x14ac:dyDescent="0.2">
      <c r="A1055" s="29"/>
      <c r="B1055" s="26"/>
      <c r="C1055" s="26"/>
      <c r="D1055" s="26"/>
      <c r="E1055" s="26"/>
      <c r="F1055" s="1"/>
      <c r="G1055" s="1"/>
      <c r="H1055" s="1"/>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row>
    <row r="1056" spans="1:32" ht="12.75" x14ac:dyDescent="0.2">
      <c r="A1056" s="29"/>
      <c r="B1056" s="26"/>
      <c r="C1056" s="26"/>
      <c r="D1056" s="26"/>
      <c r="E1056" s="26"/>
      <c r="F1056" s="1"/>
      <c r="G1056" s="1"/>
      <c r="H1056" s="1"/>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row>
    <row r="1057" spans="1:32" ht="12.75" x14ac:dyDescent="0.2">
      <c r="A1057" s="29"/>
      <c r="B1057" s="26"/>
      <c r="C1057" s="26"/>
      <c r="D1057" s="26"/>
      <c r="E1057" s="26"/>
      <c r="F1057" s="1"/>
      <c r="G1057" s="1"/>
      <c r="H1057" s="1"/>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row>
    <row r="1058" spans="1:32" ht="12.75" x14ac:dyDescent="0.2">
      <c r="A1058" s="29"/>
      <c r="B1058" s="26"/>
      <c r="C1058" s="26"/>
      <c r="D1058" s="26"/>
      <c r="E1058" s="26"/>
      <c r="F1058" s="1"/>
      <c r="G1058" s="1"/>
      <c r="H1058" s="1"/>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row>
    <row r="1059" spans="1:32" ht="12.75" x14ac:dyDescent="0.2">
      <c r="A1059" s="29"/>
      <c r="B1059" s="26"/>
      <c r="C1059" s="26"/>
      <c r="D1059" s="26"/>
      <c r="E1059" s="26"/>
      <c r="F1059" s="1"/>
      <c r="G1059" s="1"/>
      <c r="H1059" s="1"/>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row>
    <row r="1060" spans="1:32" ht="12.75" x14ac:dyDescent="0.2">
      <c r="A1060" s="29"/>
      <c r="B1060" s="26"/>
      <c r="C1060" s="26"/>
      <c r="D1060" s="26"/>
      <c r="E1060" s="26"/>
      <c r="F1060" s="1"/>
      <c r="G1060" s="1"/>
      <c r="H1060" s="1"/>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row>
    <row r="1061" spans="1:32" ht="12.75" x14ac:dyDescent="0.2">
      <c r="A1061" s="29"/>
      <c r="B1061" s="26"/>
      <c r="C1061" s="26"/>
      <c r="D1061" s="26"/>
      <c r="E1061" s="26"/>
      <c r="F1061" s="1"/>
      <c r="G1061" s="1"/>
      <c r="H1061" s="1"/>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row>
    <row r="1062" spans="1:32" ht="12.75" x14ac:dyDescent="0.2">
      <c r="A1062" s="29"/>
      <c r="B1062" s="26"/>
      <c r="C1062" s="26"/>
      <c r="D1062" s="26"/>
      <c r="E1062" s="26"/>
      <c r="F1062" s="1"/>
      <c r="G1062" s="1"/>
      <c r="H1062" s="1"/>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row>
    <row r="1063" spans="1:32" ht="12.75" x14ac:dyDescent="0.2">
      <c r="A1063" s="29"/>
      <c r="B1063" s="26"/>
      <c r="C1063" s="26"/>
      <c r="D1063" s="26"/>
      <c r="E1063" s="26"/>
      <c r="F1063" s="1"/>
      <c r="G1063" s="1"/>
      <c r="H1063" s="1"/>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row>
    <row r="1064" spans="1:32" ht="12.75" x14ac:dyDescent="0.2">
      <c r="A1064" s="29"/>
      <c r="B1064" s="26"/>
      <c r="C1064" s="26"/>
      <c r="D1064" s="26"/>
      <c r="E1064" s="26"/>
      <c r="F1064" s="1"/>
      <c r="G1064" s="1"/>
      <c r="H1064" s="1"/>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row>
    <row r="1065" spans="1:32" ht="12.75" x14ac:dyDescent="0.2">
      <c r="A1065" s="29"/>
      <c r="B1065" s="26"/>
      <c r="C1065" s="26"/>
      <c r="D1065" s="26"/>
      <c r="E1065" s="26"/>
      <c r="F1065" s="1"/>
      <c r="G1065" s="1"/>
      <c r="H1065" s="1"/>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row>
    <row r="1066" spans="1:32" ht="12.75" x14ac:dyDescent="0.2">
      <c r="A1066" s="29"/>
      <c r="B1066" s="26"/>
      <c r="C1066" s="26"/>
      <c r="D1066" s="26"/>
      <c r="E1066" s="26"/>
      <c r="F1066" s="1"/>
      <c r="G1066" s="1"/>
      <c r="H1066" s="1"/>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row>
    <row r="1067" spans="1:32" ht="12.75" x14ac:dyDescent="0.2">
      <c r="A1067" s="29"/>
      <c r="B1067" s="26"/>
      <c r="C1067" s="26"/>
      <c r="D1067" s="26"/>
      <c r="E1067" s="26"/>
      <c r="F1067" s="1"/>
      <c r="G1067" s="1"/>
      <c r="H1067" s="1"/>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row>
    <row r="1068" spans="1:32" ht="12.75" x14ac:dyDescent="0.2">
      <c r="A1068" s="29"/>
      <c r="B1068" s="26"/>
      <c r="C1068" s="26"/>
      <c r="D1068" s="26"/>
      <c r="E1068" s="26"/>
      <c r="F1068" s="1"/>
      <c r="G1068" s="1"/>
      <c r="H1068" s="1"/>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row>
    <row r="1069" spans="1:32" ht="12.75" x14ac:dyDescent="0.2">
      <c r="A1069" s="29"/>
      <c r="B1069" s="26"/>
      <c r="C1069" s="26"/>
      <c r="D1069" s="26"/>
      <c r="E1069" s="26"/>
      <c r="F1069" s="1"/>
      <c r="G1069" s="1"/>
      <c r="H1069" s="1"/>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row>
    <row r="1070" spans="1:32" ht="12.75" x14ac:dyDescent="0.2">
      <c r="A1070" s="29"/>
      <c r="B1070" s="26"/>
      <c r="C1070" s="26"/>
      <c r="D1070" s="26"/>
      <c r="E1070" s="26"/>
      <c r="F1070" s="1"/>
      <c r="G1070" s="1"/>
      <c r="H1070" s="1"/>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row>
    <row r="1071" spans="1:32" ht="12.75" x14ac:dyDescent="0.2">
      <c r="A1071" s="29"/>
      <c r="B1071" s="26"/>
      <c r="C1071" s="26"/>
      <c r="D1071" s="26"/>
      <c r="E1071" s="26"/>
      <c r="F1071" s="1"/>
      <c r="G1071" s="1"/>
      <c r="H1071" s="1"/>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row>
    <row r="1072" spans="1:32" ht="12.75" x14ac:dyDescent="0.2">
      <c r="A1072" s="29"/>
      <c r="B1072" s="26"/>
      <c r="C1072" s="26"/>
      <c r="D1072" s="26"/>
      <c r="E1072" s="26"/>
      <c r="F1072" s="1"/>
      <c r="G1072" s="1"/>
      <c r="H1072" s="1"/>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row>
    <row r="1073" spans="1:32" ht="12.75" x14ac:dyDescent="0.2">
      <c r="A1073" s="29"/>
      <c r="B1073" s="26"/>
      <c r="C1073" s="26"/>
      <c r="D1073" s="26"/>
      <c r="E1073" s="26"/>
      <c r="F1073" s="1"/>
      <c r="G1073" s="1"/>
      <c r="H1073" s="1"/>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row>
    <row r="1074" spans="1:32" ht="12.75" x14ac:dyDescent="0.2">
      <c r="A1074" s="29"/>
      <c r="B1074" s="26"/>
      <c r="C1074" s="26"/>
      <c r="D1074" s="26"/>
      <c r="E1074" s="26"/>
      <c r="F1074" s="1"/>
      <c r="G1074" s="1"/>
      <c r="H1074" s="1"/>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row>
    <row r="1075" spans="1:32" ht="12.75" x14ac:dyDescent="0.2">
      <c r="A1075" s="29"/>
      <c r="B1075" s="26"/>
      <c r="C1075" s="26"/>
      <c r="D1075" s="26"/>
      <c r="E1075" s="26"/>
      <c r="F1075" s="1"/>
      <c r="G1075" s="1"/>
      <c r="H1075" s="1"/>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row>
    <row r="1076" spans="1:32" ht="12.75" x14ac:dyDescent="0.2">
      <c r="A1076" s="29"/>
      <c r="B1076" s="26"/>
      <c r="C1076" s="26"/>
      <c r="D1076" s="26"/>
      <c r="E1076" s="26"/>
      <c r="F1076" s="1"/>
      <c r="G1076" s="1"/>
      <c r="H1076" s="1"/>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row>
    <row r="1077" spans="1:32" ht="12.75" x14ac:dyDescent="0.2">
      <c r="A1077" s="29"/>
      <c r="B1077" s="26"/>
      <c r="C1077" s="26"/>
      <c r="D1077" s="26"/>
      <c r="E1077" s="26"/>
      <c r="F1077" s="1"/>
      <c r="G1077" s="1"/>
      <c r="H1077" s="1"/>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row>
    <row r="1078" spans="1:32" ht="12.75" x14ac:dyDescent="0.2">
      <c r="A1078" s="29"/>
      <c r="B1078" s="26"/>
      <c r="C1078" s="26"/>
      <c r="D1078" s="26"/>
      <c r="E1078" s="26"/>
      <c r="F1078" s="1"/>
      <c r="G1078" s="1"/>
      <c r="H1078" s="1"/>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row>
    <row r="1079" spans="1:32" ht="12.75" x14ac:dyDescent="0.2">
      <c r="A1079" s="29"/>
      <c r="B1079" s="26"/>
      <c r="C1079" s="26"/>
      <c r="D1079" s="26"/>
      <c r="E1079" s="26"/>
      <c r="F1079" s="1"/>
      <c r="G1079" s="1"/>
      <c r="H1079" s="1"/>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row>
    <row r="1080" spans="1:32" ht="12.75" x14ac:dyDescent="0.2">
      <c r="A1080" s="29"/>
      <c r="B1080" s="26"/>
      <c r="C1080" s="26"/>
      <c r="D1080" s="26"/>
      <c r="E1080" s="26"/>
      <c r="F1080" s="1"/>
      <c r="G1080" s="1"/>
      <c r="H1080" s="1"/>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row>
    <row r="1081" spans="1:32" ht="12.75" x14ac:dyDescent="0.2">
      <c r="A1081" s="29"/>
      <c r="B1081" s="26"/>
      <c r="C1081" s="26"/>
      <c r="D1081" s="26"/>
      <c r="E1081" s="26"/>
      <c r="F1081" s="1"/>
      <c r="G1081" s="1"/>
      <c r="H1081" s="1"/>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row>
    <row r="1082" spans="1:32" ht="12.75" x14ac:dyDescent="0.2">
      <c r="A1082" s="29"/>
      <c r="B1082" s="26"/>
      <c r="C1082" s="26"/>
      <c r="D1082" s="26"/>
      <c r="E1082" s="26"/>
      <c r="F1082" s="1"/>
      <c r="G1082" s="1"/>
      <c r="H1082" s="1"/>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row>
    <row r="1083" spans="1:32" ht="12.75" x14ac:dyDescent="0.2">
      <c r="A1083" s="29"/>
      <c r="B1083" s="26"/>
      <c r="C1083" s="26"/>
      <c r="D1083" s="26"/>
      <c r="E1083" s="26"/>
      <c r="F1083" s="1"/>
      <c r="G1083" s="1"/>
      <c r="H1083" s="1"/>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row>
    <row r="1084" spans="1:32" ht="12.75" x14ac:dyDescent="0.2">
      <c r="A1084" s="29"/>
      <c r="B1084" s="26"/>
      <c r="C1084" s="26"/>
      <c r="D1084" s="26"/>
      <c r="E1084" s="26"/>
      <c r="F1084" s="1"/>
      <c r="G1084" s="1"/>
      <c r="H1084" s="1"/>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row>
    <row r="1085" spans="1:32" ht="12.75" x14ac:dyDescent="0.2">
      <c r="A1085" s="29"/>
      <c r="B1085" s="26"/>
      <c r="C1085" s="26"/>
      <c r="D1085" s="26"/>
      <c r="E1085" s="26"/>
      <c r="F1085" s="1"/>
      <c r="G1085" s="1"/>
      <c r="H1085" s="1"/>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row>
    <row r="1086" spans="1:32" ht="12.75" x14ac:dyDescent="0.2">
      <c r="A1086" s="29"/>
      <c r="B1086" s="26"/>
      <c r="C1086" s="26"/>
      <c r="D1086" s="26"/>
      <c r="E1086" s="26"/>
      <c r="F1086" s="1"/>
      <c r="G1086" s="1"/>
      <c r="H1086" s="1"/>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row>
    <row r="1087" spans="1:32" ht="12.75" x14ac:dyDescent="0.2">
      <c r="A1087" s="29"/>
      <c r="B1087" s="26"/>
      <c r="C1087" s="26"/>
      <c r="D1087" s="26"/>
      <c r="E1087" s="26"/>
      <c r="F1087" s="1"/>
      <c r="G1087" s="1"/>
      <c r="H1087" s="1"/>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row>
    <row r="1088" spans="1:32" ht="12.75" x14ac:dyDescent="0.2">
      <c r="A1088" s="29"/>
      <c r="B1088" s="26"/>
      <c r="C1088" s="26"/>
      <c r="D1088" s="26"/>
      <c r="E1088" s="26"/>
      <c r="F1088" s="1"/>
      <c r="G1088" s="1"/>
      <c r="H1088" s="1"/>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row>
    <row r="1089" spans="1:32" ht="12.75" x14ac:dyDescent="0.2">
      <c r="A1089" s="29"/>
      <c r="B1089" s="26"/>
      <c r="C1089" s="26"/>
      <c r="D1089" s="26"/>
      <c r="E1089" s="26"/>
      <c r="F1089" s="1"/>
      <c r="G1089" s="1"/>
      <c r="H1089" s="1"/>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row>
    <row r="1090" spans="1:32" ht="12.75" x14ac:dyDescent="0.2">
      <c r="A1090" s="29"/>
      <c r="B1090" s="26"/>
      <c r="C1090" s="26"/>
      <c r="D1090" s="26"/>
      <c r="E1090" s="26"/>
      <c r="F1090" s="1"/>
      <c r="G1090" s="1"/>
      <c r="H1090" s="1"/>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row>
    <row r="1091" spans="1:32" ht="12.75" x14ac:dyDescent="0.2">
      <c r="A1091" s="29"/>
      <c r="B1091" s="26"/>
      <c r="C1091" s="26"/>
      <c r="D1091" s="26"/>
      <c r="E1091" s="26"/>
      <c r="F1091" s="1"/>
      <c r="G1091" s="1"/>
      <c r="H1091" s="1"/>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row>
    <row r="1092" spans="1:32" ht="12.75" x14ac:dyDescent="0.2">
      <c r="A1092" s="29"/>
      <c r="B1092" s="26"/>
      <c r="C1092" s="26"/>
      <c r="D1092" s="26"/>
      <c r="E1092" s="26"/>
      <c r="F1092" s="1"/>
      <c r="G1092" s="1"/>
      <c r="H1092" s="1"/>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row>
    <row r="1093" spans="1:32" ht="12.75" x14ac:dyDescent="0.2">
      <c r="A1093" s="29"/>
      <c r="B1093" s="26"/>
      <c r="C1093" s="26"/>
      <c r="D1093" s="26"/>
      <c r="E1093" s="26"/>
      <c r="F1093" s="1"/>
      <c r="G1093" s="1"/>
      <c r="H1093" s="1"/>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row>
    <row r="1094" spans="1:32" ht="12.75" x14ac:dyDescent="0.2">
      <c r="A1094" s="29"/>
      <c r="B1094" s="26"/>
      <c r="C1094" s="26"/>
      <c r="D1094" s="26"/>
      <c r="E1094" s="26"/>
      <c r="F1094" s="1"/>
      <c r="G1094" s="1"/>
      <c r="H1094" s="1"/>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row>
    <row r="1095" spans="1:32" ht="12.75" x14ac:dyDescent="0.2">
      <c r="A1095" s="29"/>
      <c r="B1095" s="26"/>
      <c r="C1095" s="26"/>
      <c r="D1095" s="26"/>
      <c r="E1095" s="26"/>
      <c r="F1095" s="1"/>
      <c r="G1095" s="1"/>
      <c r="H1095" s="1"/>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row>
    <row r="1096" spans="1:32" ht="12.75" x14ac:dyDescent="0.2">
      <c r="A1096" s="29"/>
      <c r="B1096" s="26"/>
      <c r="C1096" s="26"/>
      <c r="D1096" s="26"/>
      <c r="E1096" s="26"/>
      <c r="F1096" s="1"/>
      <c r="G1096" s="1"/>
      <c r="H1096" s="1"/>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row>
    <row r="1097" spans="1:32" ht="12.75" x14ac:dyDescent="0.2">
      <c r="A1097" s="29"/>
      <c r="B1097" s="26"/>
      <c r="C1097" s="26"/>
      <c r="D1097" s="26"/>
      <c r="E1097" s="26"/>
      <c r="F1097" s="1"/>
      <c r="G1097" s="1"/>
      <c r="H1097" s="1"/>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row>
    <row r="1098" spans="1:32" ht="12.75" x14ac:dyDescent="0.2">
      <c r="A1098" s="29"/>
      <c r="B1098" s="26"/>
      <c r="C1098" s="26"/>
      <c r="D1098" s="26"/>
      <c r="E1098" s="26"/>
      <c r="F1098" s="1"/>
      <c r="G1098" s="1"/>
      <c r="H1098" s="1"/>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row>
    <row r="1099" spans="1:32" ht="12.75" x14ac:dyDescent="0.2">
      <c r="A1099" s="29"/>
      <c r="B1099" s="26"/>
      <c r="C1099" s="26"/>
      <c r="D1099" s="26"/>
      <c r="E1099" s="26"/>
      <c r="F1099" s="1"/>
      <c r="G1099" s="1"/>
      <c r="H1099" s="1"/>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row>
    <row r="1100" spans="1:32" ht="12.75" x14ac:dyDescent="0.2">
      <c r="A1100" s="29"/>
      <c r="B1100" s="26"/>
      <c r="C1100" s="26"/>
      <c r="D1100" s="26"/>
      <c r="E1100" s="26"/>
      <c r="F1100" s="1"/>
      <c r="G1100" s="1"/>
      <c r="H1100" s="1"/>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row>
    <row r="1101" spans="1:32" ht="12.75" x14ac:dyDescent="0.2">
      <c r="A1101" s="29"/>
      <c r="B1101" s="26"/>
      <c r="C1101" s="26"/>
      <c r="D1101" s="26"/>
      <c r="E1101" s="26"/>
      <c r="F1101" s="1"/>
      <c r="G1101" s="1"/>
      <c r="H1101" s="1"/>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row>
    <row r="1102" spans="1:32" ht="12.75" x14ac:dyDescent="0.2">
      <c r="A1102" s="29"/>
      <c r="B1102" s="26"/>
      <c r="C1102" s="26"/>
      <c r="D1102" s="26"/>
      <c r="E1102" s="26"/>
      <c r="F1102" s="1"/>
      <c r="G1102" s="1"/>
      <c r="H1102" s="1"/>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row>
    <row r="1103" spans="1:32" ht="12.75" x14ac:dyDescent="0.2">
      <c r="A1103" s="29"/>
      <c r="B1103" s="26"/>
      <c r="C1103" s="26"/>
      <c r="D1103" s="26"/>
      <c r="E1103" s="26"/>
      <c r="F1103" s="1"/>
      <c r="G1103" s="1"/>
      <c r="H1103" s="1"/>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row>
    <row r="1104" spans="1:32" ht="12.75" x14ac:dyDescent="0.2">
      <c r="A1104" s="29"/>
      <c r="B1104" s="26"/>
      <c r="C1104" s="26"/>
      <c r="D1104" s="26"/>
      <c r="E1104" s="26"/>
      <c r="F1104" s="1"/>
      <c r="G1104" s="1"/>
      <c r="H1104" s="1"/>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row>
    <row r="1105" spans="1:32" ht="12.75" x14ac:dyDescent="0.2">
      <c r="A1105" s="29"/>
      <c r="B1105" s="26"/>
      <c r="C1105" s="26"/>
      <c r="D1105" s="26"/>
      <c r="E1105" s="26"/>
      <c r="F1105" s="1"/>
      <c r="G1105" s="1"/>
      <c r="H1105" s="1"/>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row>
    <row r="1106" spans="1:32" ht="12.75" x14ac:dyDescent="0.2">
      <c r="A1106" s="29"/>
      <c r="B1106" s="26"/>
      <c r="C1106" s="26"/>
      <c r="D1106" s="26"/>
      <c r="E1106" s="26"/>
      <c r="F1106" s="1"/>
      <c r="G1106" s="1"/>
      <c r="H1106" s="1"/>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row>
    <row r="1107" spans="1:32" ht="12.75" x14ac:dyDescent="0.2">
      <c r="A1107" s="29"/>
      <c r="B1107" s="26"/>
      <c r="C1107" s="26"/>
      <c r="D1107" s="26"/>
      <c r="E1107" s="26"/>
      <c r="F1107" s="1"/>
      <c r="G1107" s="1"/>
      <c r="H1107" s="1"/>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row>
    <row r="1108" spans="1:32" ht="12.75" x14ac:dyDescent="0.2">
      <c r="A1108" s="29"/>
      <c r="B1108" s="26"/>
      <c r="C1108" s="26"/>
      <c r="D1108" s="26"/>
      <c r="E1108" s="26"/>
      <c r="F1108" s="1"/>
      <c r="G1108" s="1"/>
      <c r="H1108" s="1"/>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row>
    <row r="1109" spans="1:32" ht="12.75" x14ac:dyDescent="0.2">
      <c r="A1109" s="29"/>
      <c r="B1109" s="26"/>
      <c r="C1109" s="26"/>
      <c r="D1109" s="26"/>
      <c r="E1109" s="26"/>
      <c r="F1109" s="1"/>
      <c r="G1109" s="1"/>
      <c r="H1109" s="1"/>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row>
    <row r="1110" spans="1:32" ht="12.75" x14ac:dyDescent="0.2">
      <c r="A1110" s="29"/>
      <c r="B1110" s="26"/>
      <c r="C1110" s="26"/>
      <c r="D1110" s="26"/>
      <c r="E1110" s="26"/>
      <c r="F1110" s="1"/>
      <c r="G1110" s="1"/>
      <c r="H1110" s="1"/>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row>
    <row r="1111" spans="1:32" ht="12.75" x14ac:dyDescent="0.2">
      <c r="A1111" s="29"/>
      <c r="B1111" s="26"/>
      <c r="C1111" s="26"/>
      <c r="D1111" s="26"/>
      <c r="E1111" s="26"/>
      <c r="F1111" s="1"/>
      <c r="G1111" s="1"/>
      <c r="H1111" s="1"/>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row>
    <row r="1112" spans="1:32" ht="12.75" x14ac:dyDescent="0.2">
      <c r="A1112" s="29"/>
      <c r="B1112" s="26"/>
      <c r="C1112" s="26"/>
      <c r="D1112" s="26"/>
      <c r="E1112" s="26"/>
      <c r="F1112" s="1"/>
      <c r="G1112" s="1"/>
      <c r="H1112" s="1"/>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row>
    <row r="1113" spans="1:32" ht="12.75" x14ac:dyDescent="0.2">
      <c r="A1113" s="29"/>
      <c r="B1113" s="26"/>
      <c r="C1113" s="26"/>
      <c r="D1113" s="26"/>
      <c r="E1113" s="26"/>
      <c r="F1113" s="1"/>
      <c r="G1113" s="1"/>
      <c r="H1113" s="1"/>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row>
    <row r="1114" spans="1:32" ht="12.75" x14ac:dyDescent="0.2">
      <c r="A1114" s="29"/>
      <c r="B1114" s="26"/>
      <c r="C1114" s="26"/>
      <c r="D1114" s="26"/>
      <c r="E1114" s="26"/>
      <c r="F1114" s="1"/>
      <c r="G1114" s="1"/>
      <c r="H1114" s="1"/>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row>
    <row r="1115" spans="1:32" ht="12.75" x14ac:dyDescent="0.2">
      <c r="A1115" s="29"/>
      <c r="B1115" s="26"/>
      <c r="C1115" s="26"/>
      <c r="D1115" s="26"/>
      <c r="E1115" s="26"/>
      <c r="F1115" s="1"/>
      <c r="G1115" s="1"/>
      <c r="H1115" s="1"/>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row>
    <row r="1116" spans="1:32" ht="12.75" x14ac:dyDescent="0.2">
      <c r="A1116" s="29"/>
      <c r="B1116" s="26"/>
      <c r="C1116" s="26"/>
      <c r="D1116" s="26"/>
      <c r="E1116" s="26"/>
      <c r="F1116" s="1"/>
      <c r="G1116" s="1"/>
      <c r="H1116" s="1"/>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row>
    <row r="1117" spans="1:32" ht="12.75" x14ac:dyDescent="0.2">
      <c r="A1117" s="29"/>
      <c r="B1117" s="26"/>
      <c r="C1117" s="26"/>
      <c r="D1117" s="26"/>
      <c r="E1117" s="26"/>
      <c r="F1117" s="1"/>
      <c r="G1117" s="1"/>
      <c r="H1117" s="1"/>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row>
    <row r="1118" spans="1:32" ht="12.75" x14ac:dyDescent="0.2">
      <c r="A1118" s="29"/>
      <c r="B1118" s="26"/>
      <c r="C1118" s="26"/>
      <c r="D1118" s="26"/>
      <c r="E1118" s="26"/>
      <c r="F1118" s="1"/>
      <c r="G1118" s="1"/>
      <c r="H1118" s="1"/>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row>
    <row r="1119" spans="1:32" ht="12.75" x14ac:dyDescent="0.2">
      <c r="A1119" s="29"/>
      <c r="B1119" s="26"/>
      <c r="C1119" s="26"/>
      <c r="D1119" s="26"/>
      <c r="E1119" s="26"/>
      <c r="F1119" s="1"/>
      <c r="G1119" s="1"/>
      <c r="H1119" s="1"/>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row>
    <row r="1120" spans="1:32" ht="12.75" x14ac:dyDescent="0.2">
      <c r="A1120" s="29"/>
      <c r="B1120" s="26"/>
      <c r="C1120" s="26"/>
      <c r="D1120" s="26"/>
      <c r="E1120" s="26"/>
      <c r="F1120" s="1"/>
      <c r="G1120" s="1"/>
      <c r="H1120" s="1"/>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row>
    <row r="1121" spans="1:32" ht="12.75" x14ac:dyDescent="0.2">
      <c r="A1121" s="29"/>
      <c r="B1121" s="26"/>
      <c r="C1121" s="26"/>
      <c r="D1121" s="26"/>
      <c r="E1121" s="26"/>
      <c r="F1121" s="1"/>
      <c r="G1121" s="1"/>
      <c r="H1121" s="1"/>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row>
    <row r="1122" spans="1:32" ht="12.75" x14ac:dyDescent="0.2">
      <c r="A1122" s="29"/>
      <c r="B1122" s="26"/>
      <c r="C1122" s="26"/>
      <c r="D1122" s="26"/>
      <c r="E1122" s="26"/>
      <c r="F1122" s="1"/>
      <c r="G1122" s="1"/>
      <c r="H1122" s="1"/>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row>
    <row r="1123" spans="1:32" ht="12.75" x14ac:dyDescent="0.2">
      <c r="A1123" s="29"/>
      <c r="B1123" s="26"/>
      <c r="C1123" s="26"/>
      <c r="D1123" s="26"/>
      <c r="E1123" s="26"/>
      <c r="F1123" s="1"/>
      <c r="G1123" s="1"/>
      <c r="H1123" s="1"/>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row>
    <row r="1124" spans="1:32" ht="12.75" x14ac:dyDescent="0.2">
      <c r="A1124" s="29"/>
      <c r="B1124" s="26"/>
      <c r="C1124" s="26"/>
      <c r="D1124" s="26"/>
      <c r="E1124" s="26"/>
      <c r="F1124" s="1"/>
      <c r="G1124" s="1"/>
      <c r="H1124" s="1"/>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row>
    <row r="1125" spans="1:32" ht="12.75" x14ac:dyDescent="0.2">
      <c r="A1125" s="29"/>
      <c r="B1125" s="26"/>
      <c r="C1125" s="26"/>
      <c r="D1125" s="26"/>
      <c r="E1125" s="26"/>
      <c r="F1125" s="1"/>
      <c r="G1125" s="1"/>
      <c r="H1125" s="1"/>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row>
    <row r="1126" spans="1:32" ht="12.75" x14ac:dyDescent="0.2">
      <c r="A1126" s="29"/>
      <c r="B1126" s="26"/>
      <c r="C1126" s="26"/>
      <c r="D1126" s="26"/>
      <c r="E1126" s="26"/>
      <c r="F1126" s="1"/>
      <c r="G1126" s="1"/>
      <c r="H1126" s="1"/>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row>
    <row r="1127" spans="1:32" ht="12.75" x14ac:dyDescent="0.2">
      <c r="A1127" s="29"/>
      <c r="B1127" s="26"/>
      <c r="C1127" s="26"/>
      <c r="D1127" s="26"/>
      <c r="E1127" s="26"/>
      <c r="F1127" s="1"/>
      <c r="G1127" s="1"/>
      <c r="H1127" s="1"/>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row>
    <row r="1128" spans="1:32" ht="12.75" x14ac:dyDescent="0.2">
      <c r="A1128" s="29"/>
      <c r="B1128" s="26"/>
      <c r="C1128" s="26"/>
      <c r="D1128" s="26"/>
      <c r="E1128" s="26"/>
      <c r="F1128" s="1"/>
      <c r="G1128" s="1"/>
      <c r="H1128" s="1"/>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row>
    <row r="1129" spans="1:32" ht="12.75" x14ac:dyDescent="0.2">
      <c r="A1129" s="29"/>
      <c r="B1129" s="26"/>
      <c r="C1129" s="26"/>
      <c r="D1129" s="26"/>
      <c r="E1129" s="26"/>
      <c r="F1129" s="1"/>
      <c r="G1129" s="1"/>
      <c r="H1129" s="1"/>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row>
    <row r="1130" spans="1:32" ht="12.75" x14ac:dyDescent="0.2">
      <c r="A1130" s="29"/>
      <c r="B1130" s="26"/>
      <c r="C1130" s="26"/>
      <c r="D1130" s="26"/>
      <c r="E1130" s="26"/>
      <c r="F1130" s="1"/>
      <c r="G1130" s="1"/>
      <c r="H1130" s="1"/>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row>
    <row r="1131" spans="1:32" ht="12.75" x14ac:dyDescent="0.2">
      <c r="A1131" s="29"/>
      <c r="B1131" s="26"/>
      <c r="C1131" s="26"/>
      <c r="D1131" s="26"/>
      <c r="E1131" s="26"/>
      <c r="F1131" s="1"/>
      <c r="G1131" s="1"/>
      <c r="H1131" s="1"/>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row>
    <row r="1132" spans="1:32" ht="12.75" x14ac:dyDescent="0.2">
      <c r="A1132" s="29"/>
      <c r="B1132" s="26"/>
      <c r="C1132" s="26"/>
      <c r="D1132" s="26"/>
      <c r="E1132" s="26"/>
      <c r="F1132" s="1"/>
      <c r="G1132" s="1"/>
      <c r="H1132" s="1"/>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row>
    <row r="1133" spans="1:32" ht="12.75" x14ac:dyDescent="0.2">
      <c r="A1133" s="29"/>
      <c r="B1133" s="26"/>
      <c r="C1133" s="26"/>
      <c r="D1133" s="26"/>
      <c r="E1133" s="26"/>
      <c r="F1133" s="1"/>
      <c r="G1133" s="1"/>
      <c r="H1133" s="1"/>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row>
    <row r="1134" spans="1:32" ht="12.75" x14ac:dyDescent="0.2">
      <c r="A1134" s="29"/>
      <c r="B1134" s="26"/>
      <c r="C1134" s="26"/>
      <c r="D1134" s="26"/>
      <c r="E1134" s="26"/>
      <c r="F1134" s="1"/>
      <c r="G1134" s="1"/>
      <c r="H1134" s="1"/>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row>
    <row r="1135" spans="1:32" ht="12.75" x14ac:dyDescent="0.2">
      <c r="A1135" s="29"/>
      <c r="B1135" s="26"/>
      <c r="C1135" s="26"/>
      <c r="D1135" s="26"/>
      <c r="E1135" s="26"/>
      <c r="F1135" s="1"/>
      <c r="G1135" s="1"/>
      <c r="H1135" s="1"/>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row>
    <row r="1136" spans="1:32" ht="12.75" x14ac:dyDescent="0.2">
      <c r="A1136" s="29"/>
      <c r="B1136" s="26"/>
      <c r="C1136" s="26"/>
      <c r="D1136" s="26"/>
      <c r="E1136" s="26"/>
      <c r="F1136" s="1"/>
      <c r="G1136" s="1"/>
      <c r="H1136" s="1"/>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row>
    <row r="1137" spans="1:32" ht="12.75" x14ac:dyDescent="0.2">
      <c r="A1137" s="29"/>
      <c r="B1137" s="26"/>
      <c r="C1137" s="26"/>
      <c r="D1137" s="26"/>
      <c r="E1137" s="26"/>
      <c r="F1137" s="1"/>
      <c r="G1137" s="1"/>
      <c r="H1137" s="1"/>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row>
    <row r="1138" spans="1:32" ht="12.75" x14ac:dyDescent="0.2">
      <c r="A1138" s="29"/>
      <c r="B1138" s="26"/>
      <c r="C1138" s="26"/>
      <c r="D1138" s="26"/>
      <c r="E1138" s="26"/>
      <c r="F1138" s="1"/>
      <c r="G1138" s="1"/>
      <c r="H1138" s="1"/>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row>
    <row r="1139" spans="1:32" ht="12.75" x14ac:dyDescent="0.2">
      <c r="A1139" s="29"/>
      <c r="B1139" s="26"/>
      <c r="C1139" s="26"/>
      <c r="D1139" s="26"/>
      <c r="E1139" s="26"/>
      <c r="F1139" s="1"/>
      <c r="G1139" s="1"/>
      <c r="H1139" s="1"/>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row>
    <row r="1140" spans="1:32" ht="12.75" x14ac:dyDescent="0.2">
      <c r="A1140" s="29"/>
      <c r="B1140" s="26"/>
      <c r="C1140" s="26"/>
      <c r="D1140" s="26"/>
      <c r="E1140" s="26"/>
      <c r="F1140" s="1"/>
      <c r="G1140" s="1"/>
      <c r="H1140" s="1"/>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row>
    <row r="1141" spans="1:32" ht="12.75" x14ac:dyDescent="0.2">
      <c r="A1141" s="29"/>
      <c r="B1141" s="26"/>
      <c r="C1141" s="26"/>
      <c r="D1141" s="26"/>
      <c r="E1141" s="26"/>
      <c r="F1141" s="1"/>
      <c r="G1141" s="1"/>
      <c r="H1141" s="1"/>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row>
    <row r="1142" spans="1:32" ht="12.75" x14ac:dyDescent="0.2">
      <c r="A1142" s="29"/>
      <c r="B1142" s="26"/>
      <c r="C1142" s="26"/>
      <c r="D1142" s="26"/>
      <c r="E1142" s="26"/>
      <c r="F1142" s="1"/>
      <c r="G1142" s="1"/>
      <c r="H1142" s="1"/>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row>
    <row r="1143" spans="1:32" ht="12.75" x14ac:dyDescent="0.2">
      <c r="A1143" s="29"/>
      <c r="B1143" s="26"/>
      <c r="C1143" s="26"/>
      <c r="D1143" s="26"/>
      <c r="E1143" s="26"/>
      <c r="F1143" s="1"/>
      <c r="G1143" s="1"/>
      <c r="H1143" s="1"/>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row>
    <row r="1144" spans="1:32" ht="12.75" x14ac:dyDescent="0.2">
      <c r="A1144" s="29"/>
      <c r="B1144" s="26"/>
      <c r="C1144" s="26"/>
      <c r="D1144" s="26"/>
      <c r="E1144" s="26"/>
      <c r="F1144" s="1"/>
      <c r="G1144" s="1"/>
      <c r="H1144" s="1"/>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row>
    <row r="1145" spans="1:32" ht="12.75" x14ac:dyDescent="0.2">
      <c r="A1145" s="29"/>
      <c r="B1145" s="26"/>
      <c r="C1145" s="26"/>
      <c r="D1145" s="26"/>
      <c r="E1145" s="26"/>
      <c r="F1145" s="1"/>
      <c r="G1145" s="1"/>
      <c r="H1145" s="1"/>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row>
    <row r="1146" spans="1:32" ht="12.75" x14ac:dyDescent="0.2">
      <c r="A1146" s="29"/>
      <c r="B1146" s="26"/>
      <c r="C1146" s="26"/>
      <c r="D1146" s="26"/>
      <c r="E1146" s="26"/>
      <c r="F1146" s="1"/>
      <c r="G1146" s="1"/>
      <c r="H1146" s="1"/>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row>
    <row r="1147" spans="1:32" ht="12.75" x14ac:dyDescent="0.2">
      <c r="A1147" s="29"/>
      <c r="B1147" s="26"/>
      <c r="C1147" s="26"/>
      <c r="D1147" s="26"/>
      <c r="E1147" s="26"/>
      <c r="F1147" s="1"/>
      <c r="G1147" s="1"/>
      <c r="H1147" s="1"/>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row>
    <row r="1148" spans="1:32" ht="12.75" x14ac:dyDescent="0.2">
      <c r="A1148" s="29"/>
      <c r="B1148" s="26"/>
      <c r="C1148" s="26"/>
      <c r="D1148" s="26"/>
      <c r="E1148" s="26"/>
      <c r="F1148" s="1"/>
      <c r="G1148" s="1"/>
      <c r="H1148" s="1"/>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row>
    <row r="1149" spans="1:32" ht="12.75" x14ac:dyDescent="0.2">
      <c r="A1149" s="29"/>
      <c r="B1149" s="26"/>
      <c r="C1149" s="26"/>
      <c r="D1149" s="26"/>
      <c r="E1149" s="26"/>
      <c r="F1149" s="1"/>
      <c r="G1149" s="1"/>
      <c r="H1149" s="1"/>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row>
    <row r="1150" spans="1:32" ht="12.75" x14ac:dyDescent="0.2">
      <c r="A1150" s="29"/>
      <c r="B1150" s="26"/>
      <c r="C1150" s="26"/>
      <c r="D1150" s="26"/>
      <c r="E1150" s="26"/>
      <c r="F1150" s="1"/>
      <c r="G1150" s="1"/>
      <c r="H1150" s="1"/>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row>
    <row r="1151" spans="1:32" ht="12.75" x14ac:dyDescent="0.2">
      <c r="A1151" s="29"/>
      <c r="B1151" s="26"/>
      <c r="C1151" s="26"/>
      <c r="D1151" s="26"/>
      <c r="E1151" s="26"/>
      <c r="F1151" s="1"/>
      <c r="G1151" s="1"/>
      <c r="H1151" s="1"/>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row>
    <row r="1152" spans="1:32" ht="12.75" x14ac:dyDescent="0.2">
      <c r="A1152" s="29"/>
      <c r="B1152" s="26"/>
      <c r="C1152" s="26"/>
      <c r="D1152" s="26"/>
      <c r="E1152" s="26"/>
      <c r="F1152" s="1"/>
      <c r="G1152" s="1"/>
      <c r="H1152" s="1"/>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row>
    <row r="1153" spans="1:32" ht="12.75" x14ac:dyDescent="0.2">
      <c r="A1153" s="29"/>
      <c r="B1153" s="26"/>
      <c r="C1153" s="26"/>
      <c r="D1153" s="26"/>
      <c r="E1153" s="26"/>
      <c r="F1153" s="1"/>
      <c r="G1153" s="1"/>
      <c r="H1153" s="1"/>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row>
    <row r="1154" spans="1:32" ht="12.75" x14ac:dyDescent="0.2">
      <c r="A1154" s="29"/>
      <c r="B1154" s="26"/>
      <c r="C1154" s="26"/>
      <c r="D1154" s="26"/>
      <c r="E1154" s="26"/>
      <c r="F1154" s="1"/>
      <c r="G1154" s="1"/>
      <c r="H1154" s="1"/>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row>
    <row r="1155" spans="1:32" ht="12.75" x14ac:dyDescent="0.2">
      <c r="A1155" s="29"/>
      <c r="B1155" s="26"/>
      <c r="C1155" s="26"/>
      <c r="D1155" s="26"/>
      <c r="E1155" s="26"/>
      <c r="F1155" s="1"/>
      <c r="G1155" s="1"/>
      <c r="H1155" s="1"/>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row>
    <row r="1156" spans="1:32" ht="12.75" x14ac:dyDescent="0.2">
      <c r="A1156" s="29"/>
      <c r="B1156" s="26"/>
      <c r="C1156" s="26"/>
      <c r="D1156" s="26"/>
      <c r="E1156" s="26"/>
      <c r="F1156" s="1"/>
      <c r="G1156" s="1"/>
      <c r="H1156" s="1"/>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row>
    <row r="1157" spans="1:32" ht="12.75" x14ac:dyDescent="0.2">
      <c r="A1157" s="29"/>
      <c r="B1157" s="26"/>
      <c r="C1157" s="26"/>
      <c r="D1157" s="26"/>
      <c r="E1157" s="26"/>
      <c r="F1157" s="1"/>
      <c r="G1157" s="1"/>
      <c r="H1157" s="1"/>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row>
    <row r="1158" spans="1:32" ht="12.75" x14ac:dyDescent="0.2">
      <c r="A1158" s="29"/>
      <c r="B1158" s="26"/>
      <c r="C1158" s="26"/>
      <c r="D1158" s="26"/>
      <c r="E1158" s="26"/>
      <c r="F1158" s="1"/>
      <c r="G1158" s="1"/>
      <c r="H1158" s="1"/>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row>
    <row r="1159" spans="1:32" ht="12.75" x14ac:dyDescent="0.2">
      <c r="A1159" s="29"/>
      <c r="B1159" s="26"/>
      <c r="C1159" s="26"/>
      <c r="D1159" s="26"/>
      <c r="E1159" s="26"/>
      <c r="F1159" s="1"/>
      <c r="G1159" s="1"/>
      <c r="H1159" s="1"/>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row>
    <row r="1160" spans="1:32" ht="12.75" x14ac:dyDescent="0.2">
      <c r="A1160" s="29"/>
      <c r="B1160" s="26"/>
      <c r="C1160" s="26"/>
      <c r="D1160" s="26"/>
      <c r="E1160" s="26"/>
      <c r="F1160" s="1"/>
      <c r="G1160" s="1"/>
      <c r="H1160" s="1"/>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row>
    <row r="1161" spans="1:32" ht="12.75" x14ac:dyDescent="0.2">
      <c r="A1161" s="29"/>
      <c r="B1161" s="26"/>
      <c r="C1161" s="26"/>
      <c r="D1161" s="26"/>
      <c r="E1161" s="26"/>
      <c r="F1161" s="1"/>
      <c r="G1161" s="1"/>
      <c r="H1161" s="1"/>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row>
    <row r="1162" spans="1:32" ht="12.75" x14ac:dyDescent="0.2">
      <c r="A1162" s="29"/>
      <c r="B1162" s="26"/>
      <c r="C1162" s="26"/>
      <c r="D1162" s="26"/>
      <c r="E1162" s="26"/>
      <c r="F1162" s="1"/>
      <c r="G1162" s="1"/>
      <c r="H1162" s="1"/>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row>
    <row r="1163" spans="1:32" ht="12.75" x14ac:dyDescent="0.2">
      <c r="A1163" s="29"/>
      <c r="B1163" s="26"/>
      <c r="C1163" s="26"/>
      <c r="D1163" s="26"/>
      <c r="E1163" s="26"/>
      <c r="F1163" s="1"/>
      <c r="G1163" s="1"/>
      <c r="H1163" s="1"/>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row>
    <row r="1164" spans="1:32" ht="12.75" x14ac:dyDescent="0.2">
      <c r="A1164" s="29"/>
      <c r="B1164" s="26"/>
      <c r="C1164" s="26"/>
      <c r="D1164" s="26"/>
      <c r="E1164" s="26"/>
      <c r="F1164" s="1"/>
      <c r="G1164" s="1"/>
      <c r="H1164" s="1"/>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row>
    <row r="1165" spans="1:32" ht="12.75" x14ac:dyDescent="0.2">
      <c r="A1165" s="29"/>
      <c r="B1165" s="26"/>
      <c r="C1165" s="26"/>
      <c r="D1165" s="26"/>
      <c r="E1165" s="26"/>
      <c r="F1165" s="1"/>
      <c r="G1165" s="1"/>
      <c r="H1165" s="1"/>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row>
    <row r="1166" spans="1:32" ht="12.75" x14ac:dyDescent="0.2">
      <c r="A1166" s="29"/>
      <c r="B1166" s="26"/>
      <c r="C1166" s="26"/>
      <c r="D1166" s="26"/>
      <c r="E1166" s="26"/>
      <c r="F1166" s="1"/>
      <c r="G1166" s="1"/>
      <c r="H1166" s="1"/>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row>
    <row r="1167" spans="1:32" ht="12.75" x14ac:dyDescent="0.2">
      <c r="A1167" s="29"/>
      <c r="B1167" s="26"/>
      <c r="C1167" s="26"/>
      <c r="D1167" s="26"/>
      <c r="E1167" s="26"/>
      <c r="F1167" s="1"/>
      <c r="G1167" s="1"/>
      <c r="H1167" s="1"/>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row>
    <row r="1168" spans="1:32" ht="12.75" x14ac:dyDescent="0.2">
      <c r="A1168" s="29"/>
      <c r="B1168" s="26"/>
      <c r="C1168" s="26"/>
      <c r="D1168" s="26"/>
      <c r="E1168" s="26"/>
      <c r="F1168" s="1"/>
      <c r="G1168" s="1"/>
      <c r="H1168" s="1"/>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row>
    <row r="1169" spans="1:32" ht="12.75" x14ac:dyDescent="0.2">
      <c r="A1169" s="29"/>
      <c r="B1169" s="26"/>
      <c r="C1169" s="26"/>
      <c r="D1169" s="26"/>
      <c r="E1169" s="26"/>
      <c r="F1169" s="1"/>
      <c r="G1169" s="1"/>
      <c r="H1169" s="1"/>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row>
    <row r="1170" spans="1:32" ht="12.75" x14ac:dyDescent="0.2">
      <c r="A1170" s="29"/>
      <c r="B1170" s="26"/>
      <c r="C1170" s="26"/>
      <c r="D1170" s="26"/>
      <c r="E1170" s="26"/>
      <c r="F1170" s="1"/>
      <c r="G1170" s="1"/>
      <c r="H1170" s="1"/>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row>
    <row r="1171" spans="1:32" ht="12.75" x14ac:dyDescent="0.2">
      <c r="A1171" s="29"/>
      <c r="B1171" s="26"/>
      <c r="C1171" s="26"/>
      <c r="D1171" s="26"/>
      <c r="E1171" s="26"/>
      <c r="F1171" s="1"/>
      <c r="G1171" s="1"/>
      <c r="H1171" s="1"/>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row>
    <row r="1172" spans="1:32" ht="12.75" x14ac:dyDescent="0.2">
      <c r="A1172" s="29"/>
      <c r="B1172" s="26"/>
      <c r="C1172" s="26"/>
      <c r="D1172" s="26"/>
      <c r="E1172" s="26"/>
      <c r="F1172" s="1"/>
      <c r="G1172" s="1"/>
      <c r="H1172" s="1"/>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row>
    <row r="1173" spans="1:32" ht="12.75" x14ac:dyDescent="0.2">
      <c r="A1173" s="29"/>
      <c r="B1173" s="26"/>
      <c r="C1173" s="26"/>
      <c r="D1173" s="26"/>
      <c r="E1173" s="26"/>
      <c r="F1173" s="1"/>
      <c r="G1173" s="1"/>
      <c r="H1173" s="1"/>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row>
    <row r="1174" spans="1:32" ht="12.75" x14ac:dyDescent="0.2">
      <c r="A1174" s="29"/>
      <c r="B1174" s="26"/>
      <c r="C1174" s="26"/>
      <c r="D1174" s="26"/>
      <c r="E1174" s="26"/>
      <c r="F1174" s="1"/>
      <c r="G1174" s="1"/>
      <c r="H1174" s="1"/>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row>
    <row r="1175" spans="1:32" ht="12.75" x14ac:dyDescent="0.2">
      <c r="A1175" s="29"/>
      <c r="B1175" s="26"/>
      <c r="C1175" s="26"/>
      <c r="D1175" s="26"/>
      <c r="E1175" s="26"/>
      <c r="F1175" s="1"/>
      <c r="G1175" s="1"/>
      <c r="H1175" s="1"/>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row>
    <row r="1176" spans="1:32" ht="12.75" x14ac:dyDescent="0.2">
      <c r="A1176" s="29"/>
      <c r="B1176" s="26"/>
      <c r="C1176" s="26"/>
      <c r="D1176" s="26"/>
      <c r="E1176" s="26"/>
      <c r="F1176" s="1"/>
      <c r="G1176" s="1"/>
      <c r="H1176" s="1"/>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row>
    <row r="1177" spans="1:32" ht="12.75" x14ac:dyDescent="0.2">
      <c r="A1177" s="29"/>
      <c r="B1177" s="26"/>
      <c r="C1177" s="26"/>
      <c r="D1177" s="26"/>
      <c r="E1177" s="26"/>
      <c r="F1177" s="1"/>
      <c r="G1177" s="1"/>
      <c r="H1177" s="1"/>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row>
    <row r="1178" spans="1:32" ht="12.75" x14ac:dyDescent="0.2">
      <c r="A1178" s="29"/>
      <c r="B1178" s="26"/>
      <c r="C1178" s="26"/>
      <c r="D1178" s="26"/>
      <c r="E1178" s="26"/>
      <c r="F1178" s="1"/>
      <c r="G1178" s="1"/>
      <c r="H1178" s="1"/>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row>
    <row r="1179" spans="1:32" ht="12.75" x14ac:dyDescent="0.2">
      <c r="A1179" s="29"/>
      <c r="B1179" s="26"/>
      <c r="C1179" s="26"/>
      <c r="D1179" s="26"/>
      <c r="E1179" s="26"/>
      <c r="F1179" s="1"/>
      <c r="G1179" s="1"/>
      <c r="H1179" s="1"/>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row>
    <row r="1180" spans="1:32" ht="12.75" x14ac:dyDescent="0.2">
      <c r="A1180" s="29"/>
      <c r="B1180" s="26"/>
      <c r="C1180" s="26"/>
      <c r="D1180" s="26"/>
      <c r="E1180" s="26"/>
      <c r="F1180" s="1"/>
      <c r="G1180" s="1"/>
      <c r="H1180" s="1"/>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row>
    <row r="1181" spans="1:32" ht="12.75" x14ac:dyDescent="0.2">
      <c r="A1181" s="29"/>
      <c r="B1181" s="26"/>
      <c r="C1181" s="26"/>
      <c r="D1181" s="26"/>
      <c r="E1181" s="26"/>
      <c r="F1181" s="1"/>
      <c r="G1181" s="1"/>
      <c r="H1181" s="1"/>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row>
    <row r="1182" spans="1:32" ht="12.75" x14ac:dyDescent="0.2">
      <c r="A1182" s="29"/>
      <c r="B1182" s="26"/>
      <c r="C1182" s="26"/>
      <c r="D1182" s="26"/>
      <c r="E1182" s="26"/>
      <c r="F1182" s="1"/>
      <c r="G1182" s="1"/>
      <c r="H1182" s="1"/>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row>
    <row r="1183" spans="1:32" ht="12.75" x14ac:dyDescent="0.2">
      <c r="A1183" s="29"/>
      <c r="B1183" s="26"/>
      <c r="C1183" s="26"/>
      <c r="D1183" s="26"/>
      <c r="E1183" s="26"/>
      <c r="F1183" s="1"/>
      <c r="G1183" s="1"/>
      <c r="H1183" s="1"/>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row>
    <row r="1184" spans="1:32" ht="12.75" x14ac:dyDescent="0.2">
      <c r="A1184" s="29"/>
      <c r="B1184" s="26"/>
      <c r="C1184" s="26"/>
      <c r="D1184" s="26"/>
      <c r="E1184" s="26"/>
      <c r="F1184" s="1"/>
      <c r="G1184" s="1"/>
      <c r="H1184" s="1"/>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row>
    <row r="1185" spans="1:32" ht="12.75" x14ac:dyDescent="0.2">
      <c r="A1185" s="29"/>
      <c r="B1185" s="26"/>
      <c r="C1185" s="26"/>
      <c r="D1185" s="26"/>
      <c r="E1185" s="26"/>
      <c r="F1185" s="1"/>
      <c r="G1185" s="1"/>
      <c r="H1185" s="1"/>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row>
    <row r="1186" spans="1:32" ht="12.75" x14ac:dyDescent="0.2">
      <c r="A1186" s="29"/>
      <c r="B1186" s="26"/>
      <c r="C1186" s="26"/>
      <c r="D1186" s="26"/>
      <c r="E1186" s="26"/>
      <c r="F1186" s="1"/>
      <c r="G1186" s="1"/>
      <c r="H1186" s="1"/>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row>
    <row r="1187" spans="1:32" ht="12.75" x14ac:dyDescent="0.2">
      <c r="A1187" s="29"/>
      <c r="B1187" s="26"/>
      <c r="C1187" s="26"/>
      <c r="D1187" s="26"/>
      <c r="E1187" s="26"/>
      <c r="F1187" s="1"/>
      <c r="G1187" s="1"/>
      <c r="H1187" s="1"/>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row>
    <row r="1188" spans="1:32" ht="12.75" x14ac:dyDescent="0.2">
      <c r="A1188" s="29"/>
      <c r="B1188" s="26"/>
      <c r="C1188" s="26"/>
      <c r="D1188" s="26"/>
      <c r="E1188" s="26"/>
      <c r="F1188" s="1"/>
      <c r="G1188" s="1"/>
      <c r="H1188" s="1"/>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row>
    <row r="1189" spans="1:32" ht="12.75" x14ac:dyDescent="0.2">
      <c r="A1189" s="29"/>
      <c r="B1189" s="26"/>
      <c r="C1189" s="26"/>
      <c r="D1189" s="26"/>
      <c r="E1189" s="26"/>
      <c r="F1189" s="1"/>
      <c r="G1189" s="1"/>
      <c r="H1189" s="1"/>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row>
    <row r="1190" spans="1:32" ht="12.75" x14ac:dyDescent="0.2">
      <c r="A1190" s="29"/>
      <c r="B1190" s="26"/>
      <c r="C1190" s="26"/>
      <c r="D1190" s="26"/>
      <c r="E1190" s="26"/>
      <c r="F1190" s="1"/>
      <c r="G1190" s="1"/>
      <c r="H1190" s="1"/>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row>
    <row r="1191" spans="1:32" ht="12.75" x14ac:dyDescent="0.2">
      <c r="A1191" s="29"/>
      <c r="B1191" s="26"/>
      <c r="C1191" s="26"/>
      <c r="D1191" s="26"/>
      <c r="E1191" s="26"/>
      <c r="F1191" s="1"/>
      <c r="G1191" s="1"/>
      <c r="H1191" s="1"/>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row>
    <row r="1192" spans="1:32" ht="12.75" x14ac:dyDescent="0.2">
      <c r="A1192" s="29"/>
      <c r="B1192" s="26"/>
      <c r="C1192" s="26"/>
      <c r="D1192" s="26"/>
      <c r="E1192" s="26"/>
      <c r="F1192" s="1"/>
      <c r="G1192" s="1"/>
      <c r="H1192" s="1"/>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row>
  </sheetData>
  <conditionalFormatting sqref="D37 D197">
    <cfRule type="containsText" dxfId="8" priority="17" operator="containsText" text="Passed">
      <formula>NOT(ISERROR(SEARCH(("Passed"),(#REF!))))</formula>
    </cfRule>
  </conditionalFormatting>
  <conditionalFormatting sqref="D37 D197">
    <cfRule type="containsText" dxfId="7" priority="19" operator="containsText" text="Enrolled">
      <formula>NOT(ISERROR(SEARCH(("Enrolled"),(#REF!))))</formula>
    </cfRule>
  </conditionalFormatting>
  <conditionalFormatting sqref="D37 D197">
    <cfRule type="containsText" dxfId="6" priority="21" operator="containsText" text="Vetoed">
      <formula>NOT(ISERROR(SEARCH(("Vetoed"),(#REF!))))</formula>
    </cfRule>
  </conditionalFormatting>
  <conditionalFormatting sqref="D37 D197">
    <cfRule type="containsText" dxfId="5" priority="23" operator="containsText" text="Launched">
      <formula>NOT(ISERROR(SEARCH(("Launched"),(#REF!))))</formula>
    </cfRule>
  </conditionalFormatting>
  <conditionalFormatting sqref="D37 D197">
    <cfRule type="containsText" dxfId="4" priority="25" operator="containsText" text="Approved">
      <formula>NOT(ISERROR(SEARCH(("Approved"),(#REF!))))</formula>
    </cfRule>
  </conditionalFormatting>
  <conditionalFormatting sqref="D37 D197">
    <cfRule type="containsText" dxfId="3" priority="27" operator="containsText" text="Died">
      <formula>NOT(ISERROR(SEARCH(("Died"),(#REF!))))</formula>
    </cfRule>
  </conditionalFormatting>
  <conditionalFormatting sqref="D37 D197">
    <cfRule type="containsText" dxfId="2" priority="29" operator="containsText" text="Signed">
      <formula>NOT(ISERROR(SEARCH(("Signed"),(#REF!))))</formula>
    </cfRule>
  </conditionalFormatting>
  <conditionalFormatting sqref="D37 D197">
    <cfRule type="containsText" dxfId="1" priority="31" operator="containsText" text="Enacted">
      <formula>NOT(ISERROR(SEARCH(("Enacted"),(#REF!))))</formula>
    </cfRule>
  </conditionalFormatting>
  <hyperlinks>
    <hyperlink ref="D209" r:id="rId1" location="navpanes=0"/>
    <hyperlink ref="D210" r:id="rId2" location="navpanes=0"/>
    <hyperlink ref="D211" r:id="rId3" location="navpanes=0"/>
    <hyperlink ref="D212" r:id="rId4" location="navpanes=0"/>
    <hyperlink ref="D28" r:id="rId5"/>
    <hyperlink ref="D91" r:id="rId6" display="Campus Consolidation"/>
  </hyperlinks>
  <pageMargins left="0.7" right="0.7" top="0.75" bottom="0.75" header="0.3" footer="0.3"/>
  <pageSetup scale="10" fitToWidth="0" fitToHeight="0" orientation="portrait" r:id="rId7"/>
  <drawing r:id="rId8"/>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D3" sqref="D3"/>
    </sheetView>
  </sheetViews>
  <sheetFormatPr defaultRowHeight="12" x14ac:dyDescent="0.2"/>
  <cols>
    <col min="1" max="1" width="3.5703125" style="17" customWidth="1"/>
    <col min="2" max="2" width="28" style="16" customWidth="1"/>
    <col min="3" max="3" width="18.140625" style="17" customWidth="1"/>
    <col min="4" max="4" width="74.140625" style="16" customWidth="1"/>
    <col min="5" max="5" width="3" style="17" customWidth="1"/>
    <col min="6" max="6" width="15" style="16" customWidth="1"/>
    <col min="7" max="7" width="18.5703125" style="16" bestFit="1" customWidth="1"/>
    <col min="8" max="16384" width="9.140625" style="17"/>
  </cols>
  <sheetData>
    <row r="1" spans="2:7" ht="12.75" thickBot="1" x14ac:dyDescent="0.25"/>
    <row r="2" spans="2:7" ht="25.5" thickTop="1" thickBot="1" x14ac:dyDescent="0.25">
      <c r="B2" s="48" t="s">
        <v>250</v>
      </c>
      <c r="C2" s="49" t="s">
        <v>251</v>
      </c>
    </row>
    <row r="3" spans="2:7" ht="12.75" thickBot="1" x14ac:dyDescent="0.25">
      <c r="B3" s="50">
        <v>50</v>
      </c>
      <c r="C3" s="51">
        <v>241</v>
      </c>
    </row>
    <row r="4" spans="2:7" ht="13.5" thickTop="1" thickBot="1" x14ac:dyDescent="0.25">
      <c r="C4" s="16"/>
    </row>
    <row r="5" spans="2:7" ht="21" customHeight="1" thickTop="1" thickBot="1" x14ac:dyDescent="0.25">
      <c r="B5" s="54" t="s">
        <v>386</v>
      </c>
      <c r="C5" s="55"/>
      <c r="D5" s="56"/>
      <c r="F5" s="54" t="s">
        <v>387</v>
      </c>
      <c r="G5" s="55"/>
    </row>
    <row r="6" spans="2:7" s="18" customFormat="1" ht="12.75" thickTop="1" x14ac:dyDescent="0.2">
      <c r="B6" s="53" t="s">
        <v>215</v>
      </c>
      <c r="C6" s="53" t="s">
        <v>216</v>
      </c>
      <c r="D6" s="53" t="s">
        <v>217</v>
      </c>
      <c r="E6" s="12"/>
      <c r="F6" s="20" t="s">
        <v>230</v>
      </c>
      <c r="G6" s="20" t="s">
        <v>233</v>
      </c>
    </row>
    <row r="7" spans="2:7" ht="24" x14ac:dyDescent="0.2">
      <c r="B7" s="52" t="s">
        <v>55</v>
      </c>
      <c r="C7" s="57">
        <v>44</v>
      </c>
      <c r="D7" s="52" t="s">
        <v>218</v>
      </c>
      <c r="F7" s="52" t="s">
        <v>77</v>
      </c>
      <c r="G7" s="52">
        <v>32</v>
      </c>
    </row>
    <row r="8" spans="2:7" ht="24" x14ac:dyDescent="0.2">
      <c r="B8" s="52" t="s">
        <v>60</v>
      </c>
      <c r="C8" s="57">
        <v>42</v>
      </c>
      <c r="D8" s="52" t="s">
        <v>221</v>
      </c>
      <c r="F8" s="52" t="s">
        <v>231</v>
      </c>
      <c r="G8" s="52">
        <v>180</v>
      </c>
    </row>
    <row r="9" spans="2:7" ht="24" x14ac:dyDescent="0.2">
      <c r="B9" s="52" t="s">
        <v>58</v>
      </c>
      <c r="C9" s="57">
        <v>39</v>
      </c>
      <c r="D9" s="52" t="s">
        <v>219</v>
      </c>
      <c r="F9" s="52" t="s">
        <v>232</v>
      </c>
      <c r="G9" s="52">
        <v>111</v>
      </c>
    </row>
    <row r="10" spans="2:7" ht="24" x14ac:dyDescent="0.2">
      <c r="B10" s="52" t="s">
        <v>57</v>
      </c>
      <c r="C10" s="57">
        <v>38</v>
      </c>
      <c r="D10" s="52" t="s">
        <v>245</v>
      </c>
      <c r="F10" s="52" t="s">
        <v>80</v>
      </c>
      <c r="G10" s="52">
        <v>53</v>
      </c>
    </row>
    <row r="11" spans="2:7" ht="24" x14ac:dyDescent="0.2">
      <c r="B11" s="52" t="s">
        <v>56</v>
      </c>
      <c r="C11" s="57">
        <v>36</v>
      </c>
      <c r="D11" s="52" t="s">
        <v>247</v>
      </c>
    </row>
    <row r="12" spans="2:7" x14ac:dyDescent="0.2">
      <c r="B12" s="52" t="s">
        <v>59</v>
      </c>
      <c r="C12" s="57">
        <v>23</v>
      </c>
      <c r="D12" s="52" t="s">
        <v>220</v>
      </c>
    </row>
    <row r="13" spans="2:7" x14ac:dyDescent="0.2">
      <c r="B13" s="52" t="s">
        <v>65</v>
      </c>
      <c r="C13" s="57">
        <v>23</v>
      </c>
      <c r="D13" s="52" t="s">
        <v>224</v>
      </c>
    </row>
    <row r="14" spans="2:7" x14ac:dyDescent="0.2">
      <c r="B14" s="52" t="s">
        <v>66</v>
      </c>
      <c r="C14" s="57">
        <v>23</v>
      </c>
      <c r="D14" s="52" t="s">
        <v>225</v>
      </c>
    </row>
    <row r="15" spans="2:7" x14ac:dyDescent="0.2">
      <c r="B15" s="52" t="s">
        <v>61</v>
      </c>
      <c r="C15" s="57">
        <v>22</v>
      </c>
      <c r="D15" s="52" t="s">
        <v>248</v>
      </c>
    </row>
    <row r="16" spans="2:7" x14ac:dyDescent="0.2">
      <c r="B16" s="52" t="s">
        <v>71</v>
      </c>
      <c r="C16" s="57">
        <v>18</v>
      </c>
      <c r="D16" s="52" t="s">
        <v>229</v>
      </c>
    </row>
    <row r="17" spans="2:4" ht="24" x14ac:dyDescent="0.2">
      <c r="B17" s="52" t="s">
        <v>64</v>
      </c>
      <c r="C17" s="57">
        <v>17</v>
      </c>
      <c r="D17" s="52" t="s">
        <v>249</v>
      </c>
    </row>
    <row r="18" spans="2:4" ht="24" x14ac:dyDescent="0.2">
      <c r="B18" s="52" t="s">
        <v>63</v>
      </c>
      <c r="C18" s="57">
        <v>15</v>
      </c>
      <c r="D18" s="52" t="s">
        <v>223</v>
      </c>
    </row>
    <row r="19" spans="2:4" x14ac:dyDescent="0.2">
      <c r="B19" s="52" t="s">
        <v>388</v>
      </c>
      <c r="C19" s="57">
        <v>11</v>
      </c>
      <c r="D19" s="52" t="s">
        <v>222</v>
      </c>
    </row>
    <row r="20" spans="2:4" ht="24" x14ac:dyDescent="0.2">
      <c r="B20" s="52" t="s">
        <v>68</v>
      </c>
      <c r="C20" s="57">
        <v>11</v>
      </c>
      <c r="D20" s="52" t="s">
        <v>226</v>
      </c>
    </row>
    <row r="21" spans="2:4" x14ac:dyDescent="0.2">
      <c r="B21" s="52" t="s">
        <v>390</v>
      </c>
      <c r="C21" s="57">
        <v>3</v>
      </c>
      <c r="D21" s="52" t="s">
        <v>227</v>
      </c>
    </row>
    <row r="22" spans="2:4" x14ac:dyDescent="0.2">
      <c r="B22" s="52" t="s">
        <v>70</v>
      </c>
      <c r="C22" s="57">
        <v>1</v>
      </c>
      <c r="D22" s="52" t="s">
        <v>228</v>
      </c>
    </row>
    <row r="23" spans="2:4" x14ac:dyDescent="0.2">
      <c r="B23" s="52" t="s">
        <v>389</v>
      </c>
      <c r="C23" s="57">
        <v>0</v>
      </c>
      <c r="D23" s="52"/>
    </row>
  </sheetData>
  <mergeCells count="2">
    <mergeCell ref="B5:D5"/>
    <mergeCell ref="F5:G5"/>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 policy activity</vt:lpstr>
      <vt:lpstr>Overview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Estes</dc:creator>
  <cp:lastModifiedBy>Austin Estes</cp:lastModifiedBy>
  <dcterms:created xsi:type="dcterms:W3CDTF">2018-01-12T18:08:55Z</dcterms:created>
  <dcterms:modified xsi:type="dcterms:W3CDTF">2018-01-26T20:11:16Z</dcterms:modified>
</cp:coreProperties>
</file>